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M:\ProjectDocs\Multi-focal Area\Indonesia - Strengthening Forest and Ecosystem (RIMBA) GEFID 5285\"/>
    </mc:Choice>
  </mc:AlternateContent>
  <bookViews>
    <workbookView xWindow="0" yWindow="0" windowWidth="11520" windowHeight="7365"/>
  </bookViews>
  <sheets>
    <sheet name="Appendix 1 Project Budget" sheetId="2" r:id="rId1"/>
    <sheet name="Appendix 2 Co-finance" sheetId="13" r:id="rId2"/>
    <sheet name="WS" sheetId="12" state="hidden" r:id="rId3"/>
  </sheets>
  <externalReferences>
    <externalReference r:id="rId4"/>
    <externalReference r:id="rId5"/>
  </externalReferences>
  <definedNames>
    <definedName name="_xlnm.Print_Area" localSheetId="0">'Appendix 1 Project Budget'!$A$7:$G$163</definedName>
    <definedName name="_xlnm.Print_Area" localSheetId="1">'Appendix 2 Co-finance'!$A$10:$D$162</definedName>
  </definedNames>
  <calcPr calcId="152511"/>
</workbook>
</file>

<file path=xl/calcChain.xml><?xml version="1.0" encoding="utf-8"?>
<calcChain xmlns="http://schemas.openxmlformats.org/spreadsheetml/2006/main">
  <c r="G130" i="2" l="1"/>
  <c r="D21" i="13"/>
  <c r="D93" i="2"/>
  <c r="D63" i="2"/>
  <c r="J12" i="2"/>
  <c r="K12" i="2" s="1"/>
  <c r="L12" i="2" s="1"/>
  <c r="M12" i="2" s="1"/>
  <c r="I12" i="2"/>
  <c r="T73" i="13"/>
  <c r="AL73" i="13" s="1"/>
  <c r="T70" i="13"/>
  <c r="G57" i="13"/>
  <c r="G84" i="13" s="1"/>
  <c r="AJ159" i="13"/>
  <c r="AI159" i="13"/>
  <c r="AH159" i="13"/>
  <c r="AG159" i="13"/>
  <c r="AF159" i="13"/>
  <c r="AE159" i="13"/>
  <c r="AD159" i="13"/>
  <c r="AC159" i="13"/>
  <c r="AB159" i="13"/>
  <c r="AA159" i="13"/>
  <c r="Z159" i="13"/>
  <c r="Y159" i="13"/>
  <c r="X159" i="13"/>
  <c r="W159" i="13"/>
  <c r="V159" i="13"/>
  <c r="U159" i="13"/>
  <c r="T159" i="13"/>
  <c r="S159" i="13"/>
  <c r="R159" i="13"/>
  <c r="Q159" i="13"/>
  <c r="P159" i="13"/>
  <c r="O159" i="13"/>
  <c r="N159" i="13"/>
  <c r="M159" i="13"/>
  <c r="L159" i="13"/>
  <c r="K159" i="13"/>
  <c r="J159" i="13"/>
  <c r="I159" i="13"/>
  <c r="H159" i="13"/>
  <c r="G159" i="13"/>
  <c r="F159" i="13"/>
  <c r="E159" i="13"/>
  <c r="D159" i="13"/>
  <c r="AL157" i="13"/>
  <c r="AK157" i="13"/>
  <c r="AM157" i="13" s="1"/>
  <c r="AL156" i="13"/>
  <c r="AK156" i="13"/>
  <c r="AL155" i="13"/>
  <c r="AK155" i="13"/>
  <c r="AM155" i="13" s="1"/>
  <c r="AL152" i="13"/>
  <c r="AK152" i="13"/>
  <c r="AJ149" i="13"/>
  <c r="AI149" i="13"/>
  <c r="AH149" i="13"/>
  <c r="AG149" i="13"/>
  <c r="AG160" i="13" s="1"/>
  <c r="AF149" i="13"/>
  <c r="AE149" i="13"/>
  <c r="AD149" i="13"/>
  <c r="AC149" i="13"/>
  <c r="AC160" i="13" s="1"/>
  <c r="AB149" i="13"/>
  <c r="AA149" i="13"/>
  <c r="Z149" i="13"/>
  <c r="Y149" i="13"/>
  <c r="Y160" i="13" s="1"/>
  <c r="X149" i="13"/>
  <c r="W149" i="13"/>
  <c r="V149" i="13"/>
  <c r="U149" i="13"/>
  <c r="U160" i="13" s="1"/>
  <c r="T149" i="13"/>
  <c r="S149" i="13"/>
  <c r="R149" i="13"/>
  <c r="Q149" i="13"/>
  <c r="Q160" i="13" s="1"/>
  <c r="P149" i="13"/>
  <c r="O149" i="13"/>
  <c r="N149" i="13"/>
  <c r="M149" i="13"/>
  <c r="M160" i="13" s="1"/>
  <c r="L149" i="13"/>
  <c r="K149" i="13"/>
  <c r="J149" i="13"/>
  <c r="I149" i="13"/>
  <c r="I160" i="13" s="1"/>
  <c r="H149" i="13"/>
  <c r="G149" i="13"/>
  <c r="F149" i="13"/>
  <c r="E149" i="13"/>
  <c r="E160" i="13" s="1"/>
  <c r="D149" i="13"/>
  <c r="AL147" i="13"/>
  <c r="AK147" i="13"/>
  <c r="AL146" i="13"/>
  <c r="AK146" i="13"/>
  <c r="AK149" i="13" s="1"/>
  <c r="AJ144" i="13"/>
  <c r="AJ160" i="13" s="1"/>
  <c r="AI144" i="13"/>
  <c r="AI160" i="13" s="1"/>
  <c r="AH144" i="13"/>
  <c r="AG144" i="13"/>
  <c r="AF144" i="13"/>
  <c r="AF160" i="13" s="1"/>
  <c r="AE144" i="13"/>
  <c r="AE160" i="13" s="1"/>
  <c r="AD144" i="13"/>
  <c r="AC144" i="13"/>
  <c r="AB144" i="13"/>
  <c r="AB160" i="13" s="1"/>
  <c r="AA144" i="13"/>
  <c r="AA160" i="13" s="1"/>
  <c r="Z144" i="13"/>
  <c r="Y144" i="13"/>
  <c r="X144" i="13"/>
  <c r="X160" i="13" s="1"/>
  <c r="W144" i="13"/>
  <c r="W160" i="13" s="1"/>
  <c r="V144" i="13"/>
  <c r="U144" i="13"/>
  <c r="T144" i="13"/>
  <c r="T160" i="13" s="1"/>
  <c r="S144" i="13"/>
  <c r="S160" i="13" s="1"/>
  <c r="R144" i="13"/>
  <c r="Q144" i="13"/>
  <c r="P144" i="13"/>
  <c r="P160" i="13" s="1"/>
  <c r="O144" i="13"/>
  <c r="O160" i="13" s="1"/>
  <c r="N144" i="13"/>
  <c r="M144" i="13"/>
  <c r="L144" i="13"/>
  <c r="L160" i="13" s="1"/>
  <c r="K144" i="13"/>
  <c r="K160" i="13" s="1"/>
  <c r="J144" i="13"/>
  <c r="I144" i="13"/>
  <c r="H144" i="13"/>
  <c r="H160" i="13" s="1"/>
  <c r="G144" i="13"/>
  <c r="G160" i="13" s="1"/>
  <c r="F144" i="13"/>
  <c r="E144" i="13"/>
  <c r="D144" i="13"/>
  <c r="D160" i="13" s="1"/>
  <c r="AL142" i="13"/>
  <c r="AM142" i="13" s="1"/>
  <c r="AK142" i="13"/>
  <c r="AL141" i="13"/>
  <c r="AK141" i="13"/>
  <c r="AM141" i="13" s="1"/>
  <c r="AL140" i="13"/>
  <c r="AK140" i="13"/>
  <c r="AL139" i="13"/>
  <c r="AK139" i="13"/>
  <c r="AK144" i="13" s="1"/>
  <c r="AJ135" i="13"/>
  <c r="AI135" i="13"/>
  <c r="AH135" i="13"/>
  <c r="AG135" i="13"/>
  <c r="AF135" i="13"/>
  <c r="AE135" i="13"/>
  <c r="AD135" i="13"/>
  <c r="AC135" i="13"/>
  <c r="AB135" i="13"/>
  <c r="AA135" i="13"/>
  <c r="Z135" i="13"/>
  <c r="Y135" i="13"/>
  <c r="X135" i="13"/>
  <c r="W135" i="13"/>
  <c r="V135" i="13"/>
  <c r="U135" i="13"/>
  <c r="T135" i="13"/>
  <c r="S135" i="13"/>
  <c r="R135" i="13"/>
  <c r="Q135" i="13"/>
  <c r="P135" i="13"/>
  <c r="O135" i="13"/>
  <c r="N135" i="13"/>
  <c r="M135" i="13"/>
  <c r="L135" i="13"/>
  <c r="K135" i="13"/>
  <c r="J135" i="13"/>
  <c r="I135" i="13"/>
  <c r="H135" i="13"/>
  <c r="G135" i="13"/>
  <c r="F135" i="13"/>
  <c r="E135" i="13"/>
  <c r="D135" i="13"/>
  <c r="AL133" i="13"/>
  <c r="AK133" i="13"/>
  <c r="AL132" i="13"/>
  <c r="AK132" i="13"/>
  <c r="AL131" i="13"/>
  <c r="AK131" i="13"/>
  <c r="AL130" i="13"/>
  <c r="AK130" i="13"/>
  <c r="AL129" i="13"/>
  <c r="AK129" i="13"/>
  <c r="AM129" i="13" s="1"/>
  <c r="AL128" i="13"/>
  <c r="AK128" i="13"/>
  <c r="AL127" i="13"/>
  <c r="AK127" i="13"/>
  <c r="AJ125" i="13"/>
  <c r="AI125" i="13"/>
  <c r="AH125" i="13"/>
  <c r="AH136" i="13" s="1"/>
  <c r="AG125" i="13"/>
  <c r="AF125" i="13"/>
  <c r="AE125" i="13"/>
  <c r="AD125" i="13"/>
  <c r="AD136" i="13" s="1"/>
  <c r="AC125" i="13"/>
  <c r="AB125" i="13"/>
  <c r="AA125" i="13"/>
  <c r="Z125" i="13"/>
  <c r="Z136" i="13" s="1"/>
  <c r="Y125" i="13"/>
  <c r="X125" i="13"/>
  <c r="W125" i="13"/>
  <c r="V125" i="13"/>
  <c r="V136" i="13" s="1"/>
  <c r="U125" i="13"/>
  <c r="T125" i="13"/>
  <c r="S125" i="13"/>
  <c r="R125" i="13"/>
  <c r="R136" i="13" s="1"/>
  <c r="Q125" i="13"/>
  <c r="P125" i="13"/>
  <c r="O125" i="13"/>
  <c r="N125" i="13"/>
  <c r="N136" i="13" s="1"/>
  <c r="M125" i="13"/>
  <c r="L125" i="13"/>
  <c r="K125" i="13"/>
  <c r="J125" i="13"/>
  <c r="J136" i="13" s="1"/>
  <c r="I125" i="13"/>
  <c r="H125" i="13"/>
  <c r="G125" i="13"/>
  <c r="F125" i="13"/>
  <c r="F136" i="13" s="1"/>
  <c r="E125" i="13"/>
  <c r="D125" i="13"/>
  <c r="AL123" i="13"/>
  <c r="AK123" i="13"/>
  <c r="AL122" i="13"/>
  <c r="AK122" i="13"/>
  <c r="AM122" i="13" s="1"/>
  <c r="AL121" i="13"/>
  <c r="AK121" i="13"/>
  <c r="AL120" i="13"/>
  <c r="AK120" i="13"/>
  <c r="AM120" i="13" s="1"/>
  <c r="AL119" i="13"/>
  <c r="AK119" i="13"/>
  <c r="AJ114" i="13"/>
  <c r="AI114" i="13"/>
  <c r="AH114" i="13"/>
  <c r="AG114" i="13"/>
  <c r="AF114" i="13"/>
  <c r="AE114" i="13"/>
  <c r="AD114" i="13"/>
  <c r="AC114" i="13"/>
  <c r="AB114" i="13"/>
  <c r="AA114" i="13"/>
  <c r="Z114" i="13"/>
  <c r="Y114" i="13"/>
  <c r="X114" i="13"/>
  <c r="W114" i="13"/>
  <c r="V114" i="13"/>
  <c r="U114" i="13"/>
  <c r="T114" i="13"/>
  <c r="S114" i="13"/>
  <c r="R114" i="13"/>
  <c r="Q114" i="13"/>
  <c r="P114" i="13"/>
  <c r="O114" i="13"/>
  <c r="N114" i="13"/>
  <c r="M114" i="13"/>
  <c r="L114" i="13"/>
  <c r="K114" i="13"/>
  <c r="J114" i="13"/>
  <c r="I114" i="13"/>
  <c r="H114" i="13"/>
  <c r="G114" i="13"/>
  <c r="F114" i="13"/>
  <c r="E114" i="13"/>
  <c r="D114" i="13"/>
  <c r="AL112" i="13"/>
  <c r="AK112" i="13"/>
  <c r="AL111" i="13"/>
  <c r="AK111" i="13"/>
  <c r="AL110" i="13"/>
  <c r="AK110" i="13"/>
  <c r="AL109" i="13"/>
  <c r="AK109" i="13"/>
  <c r="AJ107" i="13"/>
  <c r="AJ115" i="13" s="1"/>
  <c r="AI107" i="13"/>
  <c r="AH107" i="13"/>
  <c r="AG107" i="13"/>
  <c r="AF107" i="13"/>
  <c r="AF115" i="13" s="1"/>
  <c r="AE107" i="13"/>
  <c r="AD107" i="13"/>
  <c r="AD115" i="13" s="1"/>
  <c r="AC107" i="13"/>
  <c r="AB107" i="13"/>
  <c r="AB115" i="13" s="1"/>
  <c r="AA107" i="13"/>
  <c r="Z107" i="13"/>
  <c r="Z115" i="13" s="1"/>
  <c r="Y107" i="13"/>
  <c r="X107" i="13"/>
  <c r="X115" i="13" s="1"/>
  <c r="W107" i="13"/>
  <c r="V107" i="13"/>
  <c r="V115" i="13" s="1"/>
  <c r="U107" i="13"/>
  <c r="T107" i="13"/>
  <c r="T115" i="13" s="1"/>
  <c r="S107" i="13"/>
  <c r="R107" i="13"/>
  <c r="R115" i="13" s="1"/>
  <c r="Q107" i="13"/>
  <c r="P107" i="13"/>
  <c r="P115" i="13" s="1"/>
  <c r="O107" i="13"/>
  <c r="N107" i="13"/>
  <c r="N115" i="13" s="1"/>
  <c r="M107" i="13"/>
  <c r="L107" i="13"/>
  <c r="L115" i="13" s="1"/>
  <c r="K107" i="13"/>
  <c r="J107" i="13"/>
  <c r="J115" i="13" s="1"/>
  <c r="I107" i="13"/>
  <c r="H107" i="13"/>
  <c r="H115" i="13" s="1"/>
  <c r="G107" i="13"/>
  <c r="F107" i="13"/>
  <c r="F115" i="13" s="1"/>
  <c r="E107" i="13"/>
  <c r="D107" i="13"/>
  <c r="D115" i="13" s="1"/>
  <c r="AL105" i="13"/>
  <c r="AL107" i="13" s="1"/>
  <c r="AK105" i="13"/>
  <c r="AK107" i="13" s="1"/>
  <c r="AJ100" i="13"/>
  <c r="AI100" i="13"/>
  <c r="AH100" i="13"/>
  <c r="AG100" i="13"/>
  <c r="AF100" i="13"/>
  <c r="AE100" i="13"/>
  <c r="AD100" i="13"/>
  <c r="AC100" i="13"/>
  <c r="AB100" i="13"/>
  <c r="AA100" i="13"/>
  <c r="Z100" i="13"/>
  <c r="Y100" i="13"/>
  <c r="X100" i="13"/>
  <c r="W100" i="13"/>
  <c r="V100" i="13"/>
  <c r="U100" i="13"/>
  <c r="T100" i="13"/>
  <c r="S100" i="13"/>
  <c r="R100" i="13"/>
  <c r="Q100" i="13"/>
  <c r="P100" i="13"/>
  <c r="O100" i="13"/>
  <c r="N100" i="13"/>
  <c r="M100" i="13"/>
  <c r="L100" i="13"/>
  <c r="K100" i="13"/>
  <c r="J100" i="13"/>
  <c r="I100" i="13"/>
  <c r="H100" i="13"/>
  <c r="G100" i="13"/>
  <c r="F100" i="13"/>
  <c r="E100" i="13"/>
  <c r="D100" i="13"/>
  <c r="AL98" i="13"/>
  <c r="AM98" i="13" s="1"/>
  <c r="AK98" i="13"/>
  <c r="AL97" i="13"/>
  <c r="AK97" i="13"/>
  <c r="AL96" i="13"/>
  <c r="AK96" i="13"/>
  <c r="AL95" i="13"/>
  <c r="AK95" i="13"/>
  <c r="AM95" i="13" s="1"/>
  <c r="AL94" i="13"/>
  <c r="AK94" i="13"/>
  <c r="AM94" i="13" s="1"/>
  <c r="AL93" i="13"/>
  <c r="AK93" i="13"/>
  <c r="AL92" i="13"/>
  <c r="AK92" i="13"/>
  <c r="AL91" i="13"/>
  <c r="AK91" i="13"/>
  <c r="AM91" i="13" s="1"/>
  <c r="AL90" i="13"/>
  <c r="AK90" i="13"/>
  <c r="AL89" i="13"/>
  <c r="AK89" i="13"/>
  <c r="AL88" i="13"/>
  <c r="AK88" i="13"/>
  <c r="AL87" i="13"/>
  <c r="AK87" i="13"/>
  <c r="AM87" i="13" s="1"/>
  <c r="AL86" i="13"/>
  <c r="AK86" i="13"/>
  <c r="AJ84" i="13"/>
  <c r="AH84" i="13"/>
  <c r="AG84" i="13"/>
  <c r="AG101" i="13" s="1"/>
  <c r="AF84" i="13"/>
  <c r="AE84" i="13"/>
  <c r="AD84" i="13"/>
  <c r="AC84" i="13"/>
  <c r="AC101" i="13" s="1"/>
  <c r="AB84" i="13"/>
  <c r="Z84" i="13"/>
  <c r="Z101" i="13" s="1"/>
  <c r="Y84" i="13"/>
  <c r="W84" i="13"/>
  <c r="O84" i="13"/>
  <c r="N84" i="13"/>
  <c r="L84" i="13"/>
  <c r="L101" i="13" s="1"/>
  <c r="K84" i="13"/>
  <c r="J84" i="13"/>
  <c r="J101" i="13" s="1"/>
  <c r="H84" i="13"/>
  <c r="F84" i="13"/>
  <c r="F101" i="13" s="1"/>
  <c r="D84" i="13"/>
  <c r="AL82" i="13"/>
  <c r="AA82" i="13"/>
  <c r="E82" i="13"/>
  <c r="E84" i="13" s="1"/>
  <c r="E101" i="13" s="1"/>
  <c r="AL81" i="13"/>
  <c r="AA81" i="13"/>
  <c r="AK81" i="13" s="1"/>
  <c r="AL80" i="13"/>
  <c r="AA80" i="13"/>
  <c r="U80" i="13"/>
  <c r="U84" i="13" s="1"/>
  <c r="U101" i="13" s="1"/>
  <c r="S80" i="13"/>
  <c r="S84" i="13" s="1"/>
  <c r="Q80" i="13"/>
  <c r="AL79" i="13"/>
  <c r="AA79" i="13"/>
  <c r="AK79" i="13" s="1"/>
  <c r="AM79" i="13" s="1"/>
  <c r="AL78" i="13"/>
  <c r="AK78" i="13"/>
  <c r="AM78" i="13" s="1"/>
  <c r="AA78" i="13"/>
  <c r="AL77" i="13"/>
  <c r="AA77" i="13"/>
  <c r="M77" i="13"/>
  <c r="M84" i="13" s="1"/>
  <c r="M101" i="13" s="1"/>
  <c r="AL76" i="13"/>
  <c r="AK76" i="13"/>
  <c r="AM76" i="13" s="1"/>
  <c r="AA76" i="13"/>
  <c r="AL75" i="13"/>
  <c r="AA75" i="13"/>
  <c r="AK75" i="13" s="1"/>
  <c r="AL74" i="13"/>
  <c r="AA74" i="13"/>
  <c r="AK74" i="13" s="1"/>
  <c r="AA73" i="13"/>
  <c r="AK73" i="13" s="1"/>
  <c r="AA72" i="13"/>
  <c r="AK72" i="13" s="1"/>
  <c r="T72" i="13"/>
  <c r="AL72" i="13" s="1"/>
  <c r="AA71" i="13"/>
  <c r="V71" i="13"/>
  <c r="AL71" i="13" s="1"/>
  <c r="I71" i="13"/>
  <c r="AI70" i="13"/>
  <c r="AI84" i="13" s="1"/>
  <c r="AA70" i="13"/>
  <c r="AK70" i="13" s="1"/>
  <c r="V70" i="13"/>
  <c r="AL69" i="13"/>
  <c r="AA69" i="13"/>
  <c r="AK69" i="13" s="1"/>
  <c r="AM69" i="13" s="1"/>
  <c r="AL68" i="13"/>
  <c r="AA68" i="13"/>
  <c r="AK68" i="13" s="1"/>
  <c r="AA67" i="13"/>
  <c r="AK67" i="13" s="1"/>
  <c r="X67" i="13"/>
  <c r="V67" i="13"/>
  <c r="T67" i="13"/>
  <c r="AL66" i="13"/>
  <c r="AA66" i="13"/>
  <c r="AK66" i="13" s="1"/>
  <c r="AL65" i="13"/>
  <c r="AA65" i="13"/>
  <c r="AK65" i="13" s="1"/>
  <c r="AM65" i="13" s="1"/>
  <c r="AA64" i="13"/>
  <c r="AK64" i="13" s="1"/>
  <c r="X64" i="13"/>
  <c r="R64" i="13"/>
  <c r="AK63" i="13"/>
  <c r="AA63" i="13"/>
  <c r="P63" i="13"/>
  <c r="AL63" i="13" s="1"/>
  <c r="AA62" i="13"/>
  <c r="AK62" i="13" s="1"/>
  <c r="V62" i="13"/>
  <c r="V84" i="13" s="1"/>
  <c r="V101" i="13" s="1"/>
  <c r="T62" i="13"/>
  <c r="P62" i="13"/>
  <c r="P84" i="13" s="1"/>
  <c r="P101" i="13" s="1"/>
  <c r="AA61" i="13"/>
  <c r="AK61" i="13" s="1"/>
  <c r="X61" i="13"/>
  <c r="AL61" i="13" s="1"/>
  <c r="AL60" i="13"/>
  <c r="AK60" i="13"/>
  <c r="AM60" i="13" s="1"/>
  <c r="AA60" i="13"/>
  <c r="AL59" i="13"/>
  <c r="AA59" i="13"/>
  <c r="AK59" i="13" s="1"/>
  <c r="X59" i="13"/>
  <c r="AL58" i="13"/>
  <c r="AA58" i="13"/>
  <c r="AK58" i="13" s="1"/>
  <c r="AL57" i="13"/>
  <c r="AA57" i="13"/>
  <c r="X57" i="13"/>
  <c r="AL56" i="13"/>
  <c r="AA56" i="13"/>
  <c r="AK56" i="13" s="1"/>
  <c r="AL55" i="13"/>
  <c r="AA55" i="13"/>
  <c r="B55" i="13"/>
  <c r="B56" i="13" s="1"/>
  <c r="B57" i="13" s="1"/>
  <c r="B58" i="13" s="1"/>
  <c r="B59" i="13" s="1"/>
  <c r="B60" i="13" s="1"/>
  <c r="B61" i="13" s="1"/>
  <c r="B62" i="13" s="1"/>
  <c r="B63" i="13" s="1"/>
  <c r="B64" i="13" s="1"/>
  <c r="B65" i="13" s="1"/>
  <c r="B66" i="13" s="1"/>
  <c r="B67" i="13" s="1"/>
  <c r="B68" i="13" s="1"/>
  <c r="B69" i="13" s="1"/>
  <c r="B70" i="13" s="1"/>
  <c r="B71" i="13" s="1"/>
  <c r="B72" i="13" s="1"/>
  <c r="B73" i="13" s="1"/>
  <c r="B74" i="13" s="1"/>
  <c r="B75" i="13" s="1"/>
  <c r="B76" i="13" s="1"/>
  <c r="B77" i="13" s="1"/>
  <c r="B78" i="13" s="1"/>
  <c r="B79" i="13" s="1"/>
  <c r="B80" i="13" s="1"/>
  <c r="B81" i="13" s="1"/>
  <c r="B82" i="13" s="1"/>
  <c r="AJ50" i="13"/>
  <c r="AI50" i="13"/>
  <c r="AH50" i="13"/>
  <c r="AG50" i="13"/>
  <c r="AF50" i="13"/>
  <c r="AE50" i="13"/>
  <c r="AD50" i="13"/>
  <c r="AC50" i="13"/>
  <c r="AB50" i="13"/>
  <c r="AA50" i="13"/>
  <c r="Z50" i="13"/>
  <c r="Y50" i="13"/>
  <c r="X50" i="13"/>
  <c r="W50" i="13"/>
  <c r="V50" i="13"/>
  <c r="U50" i="13"/>
  <c r="T50" i="13"/>
  <c r="S50" i="13"/>
  <c r="R50" i="13"/>
  <c r="Q50" i="13"/>
  <c r="P50" i="13"/>
  <c r="O50" i="13"/>
  <c r="N50" i="13"/>
  <c r="M50" i="13"/>
  <c r="L50" i="13"/>
  <c r="K50" i="13"/>
  <c r="J50" i="13"/>
  <c r="I50" i="13"/>
  <c r="H50" i="13"/>
  <c r="G50" i="13"/>
  <c r="F50" i="13"/>
  <c r="E50" i="13"/>
  <c r="D50" i="13"/>
  <c r="AL48" i="13"/>
  <c r="AL50" i="13" s="1"/>
  <c r="AK48" i="13"/>
  <c r="AM47" i="13"/>
  <c r="AL47" i="13"/>
  <c r="AK47" i="13"/>
  <c r="AJ45" i="13"/>
  <c r="AI45" i="13"/>
  <c r="AH45" i="13"/>
  <c r="AG45" i="13"/>
  <c r="AF45" i="13"/>
  <c r="AE45" i="13"/>
  <c r="AD45" i="13"/>
  <c r="AC45" i="13"/>
  <c r="AB45" i="13"/>
  <c r="AA45" i="13"/>
  <c r="Z45" i="13"/>
  <c r="Y45" i="13"/>
  <c r="X45" i="13"/>
  <c r="W45" i="13"/>
  <c r="V45" i="13"/>
  <c r="U45" i="13"/>
  <c r="T45" i="13"/>
  <c r="S45" i="13"/>
  <c r="R45" i="13"/>
  <c r="Q45" i="13"/>
  <c r="P45" i="13"/>
  <c r="O45" i="13"/>
  <c r="N45" i="13"/>
  <c r="M45" i="13"/>
  <c r="L45" i="13"/>
  <c r="K45" i="13"/>
  <c r="J45" i="13"/>
  <c r="I45" i="13"/>
  <c r="H45" i="13"/>
  <c r="G45" i="13"/>
  <c r="F45" i="13"/>
  <c r="E45" i="13"/>
  <c r="D45" i="13"/>
  <c r="AM43" i="13"/>
  <c r="AL43" i="13"/>
  <c r="AK43" i="13"/>
  <c r="AL42" i="13"/>
  <c r="AK42" i="13"/>
  <c r="AM42" i="13" s="1"/>
  <c r="AL41" i="13"/>
  <c r="AK41" i="13"/>
  <c r="AM41" i="13" s="1"/>
  <c r="AL40" i="13"/>
  <c r="AK40" i="13"/>
  <c r="AL39" i="13"/>
  <c r="AM39" i="13" s="1"/>
  <c r="AK39" i="13"/>
  <c r="AL38" i="13"/>
  <c r="AK38" i="13"/>
  <c r="AL37" i="13"/>
  <c r="AK37" i="13"/>
  <c r="B37" i="13"/>
  <c r="B38" i="13" s="1"/>
  <c r="B39" i="13" s="1"/>
  <c r="B40" i="13" s="1"/>
  <c r="B41" i="13" s="1"/>
  <c r="B42" i="13" s="1"/>
  <c r="B43" i="13" s="1"/>
  <c r="AL36" i="13"/>
  <c r="AK36" i="13"/>
  <c r="AJ34" i="13"/>
  <c r="AI34" i="13"/>
  <c r="AH34" i="13"/>
  <c r="AG34" i="13"/>
  <c r="AF34" i="13"/>
  <c r="AE34" i="13"/>
  <c r="AD34" i="13"/>
  <c r="AC34" i="13"/>
  <c r="AB34" i="13"/>
  <c r="AA34" i="13"/>
  <c r="Z34" i="13"/>
  <c r="Y34" i="13"/>
  <c r="X34" i="13"/>
  <c r="W34" i="13"/>
  <c r="V34" i="13"/>
  <c r="U34" i="13"/>
  <c r="T34" i="13"/>
  <c r="S34" i="13"/>
  <c r="R34" i="13"/>
  <c r="Q34" i="13"/>
  <c r="P34" i="13"/>
  <c r="O34" i="13"/>
  <c r="N34" i="13"/>
  <c r="M34" i="13"/>
  <c r="L34" i="13"/>
  <c r="K34" i="13"/>
  <c r="J34" i="13"/>
  <c r="I34" i="13"/>
  <c r="H34" i="13"/>
  <c r="G34" i="13"/>
  <c r="F34" i="13"/>
  <c r="E34" i="13"/>
  <c r="D34" i="13"/>
  <c r="AL32" i="13"/>
  <c r="AK32" i="13"/>
  <c r="AL31" i="13"/>
  <c r="AK31" i="13"/>
  <c r="AL30" i="13"/>
  <c r="AK30" i="13"/>
  <c r="AL29" i="13"/>
  <c r="AK29" i="13"/>
  <c r="AL28" i="13"/>
  <c r="AK28" i="13"/>
  <c r="AL27" i="13"/>
  <c r="AK27" i="13"/>
  <c r="AL26" i="13"/>
  <c r="AK26" i="13"/>
  <c r="AL25" i="13"/>
  <c r="AK25" i="13"/>
  <c r="AL24" i="13"/>
  <c r="AK24" i="13"/>
  <c r="AL23" i="13"/>
  <c r="AK23" i="13"/>
  <c r="B23" i="13"/>
  <c r="B24" i="13" s="1"/>
  <c r="B25" i="13" s="1"/>
  <c r="B26" i="13" s="1"/>
  <c r="B27" i="13" s="1"/>
  <c r="B28" i="13" s="1"/>
  <c r="B29" i="13" s="1"/>
  <c r="B30" i="13" s="1"/>
  <c r="B31" i="13" s="1"/>
  <c r="B32" i="13" s="1"/>
  <c r="AJ21" i="13"/>
  <c r="AI21" i="13"/>
  <c r="AH21" i="13"/>
  <c r="AH51" i="13" s="1"/>
  <c r="AG21" i="13"/>
  <c r="AF21" i="13"/>
  <c r="AE21" i="13"/>
  <c r="AD21" i="13"/>
  <c r="AD51" i="13" s="1"/>
  <c r="AC21" i="13"/>
  <c r="AB21" i="13"/>
  <c r="AA21" i="13"/>
  <c r="Z21" i="13"/>
  <c r="Z51" i="13" s="1"/>
  <c r="Y21" i="13"/>
  <c r="X21" i="13"/>
  <c r="W21" i="13"/>
  <c r="V21" i="13"/>
  <c r="V51" i="13" s="1"/>
  <c r="U21" i="13"/>
  <c r="T21" i="13"/>
  <c r="S21" i="13"/>
  <c r="R21" i="13"/>
  <c r="R51" i="13" s="1"/>
  <c r="Q21" i="13"/>
  <c r="P21" i="13"/>
  <c r="O21" i="13"/>
  <c r="N21" i="13"/>
  <c r="N51" i="13" s="1"/>
  <c r="M21" i="13"/>
  <c r="L21" i="13"/>
  <c r="K21" i="13"/>
  <c r="J21" i="13"/>
  <c r="J51" i="13" s="1"/>
  <c r="I21" i="13"/>
  <c r="H21" i="13"/>
  <c r="G21" i="13"/>
  <c r="F21" i="13"/>
  <c r="F51" i="13" s="1"/>
  <c r="E21" i="13"/>
  <c r="AL19" i="13"/>
  <c r="AK19" i="13"/>
  <c r="AM19" i="13" s="1"/>
  <c r="AL18" i="13"/>
  <c r="AK18" i="13"/>
  <c r="AM18" i="13" s="1"/>
  <c r="AL17" i="13"/>
  <c r="AK17" i="13"/>
  <c r="AM17" i="13" s="1"/>
  <c r="AL16" i="13"/>
  <c r="AK16" i="13"/>
  <c r="AM16" i="13" s="1"/>
  <c r="AL15" i="13"/>
  <c r="AK15" i="13"/>
  <c r="AM15" i="13" s="1"/>
  <c r="AL14" i="13"/>
  <c r="AK14" i="13"/>
  <c r="AM14" i="13" s="1"/>
  <c r="AL13" i="13"/>
  <c r="AK13" i="13"/>
  <c r="AM13" i="13" s="1"/>
  <c r="B13" i="13"/>
  <c r="B14" i="13" s="1"/>
  <c r="B15" i="13" s="1"/>
  <c r="B16" i="13" s="1"/>
  <c r="B17" i="13" s="1"/>
  <c r="B18" i="13" s="1"/>
  <c r="B19" i="13" s="1"/>
  <c r="W8" i="13"/>
  <c r="U8" i="13"/>
  <c r="S8" i="13"/>
  <c r="Q8" i="13"/>
  <c r="E8" i="13"/>
  <c r="N111" i="2"/>
  <c r="N147" i="2"/>
  <c r="G12" i="2"/>
  <c r="G51" i="13" l="1"/>
  <c r="K51" i="13"/>
  <c r="O51" i="13"/>
  <c r="S51" i="13"/>
  <c r="W51" i="13"/>
  <c r="AA51" i="13"/>
  <c r="AE51" i="13"/>
  <c r="AI51" i="13"/>
  <c r="AL34" i="13"/>
  <c r="AK45" i="13"/>
  <c r="AL100" i="13"/>
  <c r="AH115" i="13"/>
  <c r="AM111" i="13"/>
  <c r="AK125" i="13"/>
  <c r="AM121" i="13"/>
  <c r="AM123" i="13"/>
  <c r="AM133" i="13"/>
  <c r="AM38" i="13"/>
  <c r="AM56" i="13"/>
  <c r="AM59" i="13"/>
  <c r="AI101" i="13"/>
  <c r="S101" i="13"/>
  <c r="AM81" i="13"/>
  <c r="AK82" i="13"/>
  <c r="AM82" i="13" s="1"/>
  <c r="Y101" i="13"/>
  <c r="AM90" i="13"/>
  <c r="AM112" i="13"/>
  <c r="AM128" i="13"/>
  <c r="AM140" i="13"/>
  <c r="AM152" i="13"/>
  <c r="AM147" i="13"/>
  <c r="AM37" i="13"/>
  <c r="AM40" i="13"/>
  <c r="X84" i="13"/>
  <c r="AL64" i="13"/>
  <c r="AM75" i="13"/>
  <c r="AM86" i="13"/>
  <c r="AM132" i="13"/>
  <c r="I51" i="13"/>
  <c r="Q51" i="13"/>
  <c r="Y51" i="13"/>
  <c r="AG51" i="13"/>
  <c r="AL21" i="13"/>
  <c r="AM24" i="13"/>
  <c r="AM26" i="13"/>
  <c r="AM28" i="13"/>
  <c r="AM30" i="13"/>
  <c r="AM32" i="13"/>
  <c r="AL45" i="13"/>
  <c r="AM48" i="13"/>
  <c r="AA84" i="13"/>
  <c r="AA101" i="13" s="1"/>
  <c r="AM58" i="13"/>
  <c r="AL62" i="13"/>
  <c r="AL67" i="13"/>
  <c r="AM68" i="13"/>
  <c r="H101" i="13"/>
  <c r="H162" i="13" s="1"/>
  <c r="H165" i="13" s="1"/>
  <c r="N101" i="13"/>
  <c r="AD101" i="13"/>
  <c r="AH101" i="13"/>
  <c r="AM88" i="13"/>
  <c r="AM93" i="13"/>
  <c r="AM96" i="13"/>
  <c r="E115" i="13"/>
  <c r="I115" i="13"/>
  <c r="M115" i="13"/>
  <c r="Q115" i="13"/>
  <c r="U115" i="13"/>
  <c r="Y115" i="13"/>
  <c r="AC115" i="13"/>
  <c r="AG115" i="13"/>
  <c r="AK114" i="13"/>
  <c r="AK115" i="13" s="1"/>
  <c r="AL125" i="13"/>
  <c r="E136" i="13"/>
  <c r="I136" i="13"/>
  <c r="M136" i="13"/>
  <c r="Q136" i="13"/>
  <c r="U136" i="13"/>
  <c r="Y136" i="13"/>
  <c r="AC136" i="13"/>
  <c r="AG136" i="13"/>
  <c r="AK135" i="13"/>
  <c r="AM130" i="13"/>
  <c r="AL144" i="13"/>
  <c r="F160" i="13"/>
  <c r="J160" i="13"/>
  <c r="N160" i="13"/>
  <c r="R160" i="13"/>
  <c r="V160" i="13"/>
  <c r="V162" i="13" s="1"/>
  <c r="V165" i="13" s="1"/>
  <c r="Z160" i="13"/>
  <c r="AD160" i="13"/>
  <c r="AH160" i="13"/>
  <c r="AL159" i="13"/>
  <c r="E51" i="13"/>
  <c r="U51" i="13"/>
  <c r="U162" i="13" s="1"/>
  <c r="U165" i="13" s="1"/>
  <c r="AC51" i="13"/>
  <c r="AM36" i="13"/>
  <c r="AM45" i="13" s="1"/>
  <c r="X101" i="13"/>
  <c r="AM63" i="13"/>
  <c r="AK71" i="13"/>
  <c r="AM71" i="13" s="1"/>
  <c r="AJ101" i="13"/>
  <c r="AL114" i="13"/>
  <c r="AL115" i="13" s="1"/>
  <c r="AL135" i="13"/>
  <c r="AL136" i="13" s="1"/>
  <c r="G136" i="13"/>
  <c r="K136" i="13"/>
  <c r="O136" i="13"/>
  <c r="S136" i="13"/>
  <c r="S162" i="13" s="1"/>
  <c r="S165" i="13" s="1"/>
  <c r="W136" i="13"/>
  <c r="AA136" i="13"/>
  <c r="AE136" i="13"/>
  <c r="AI136" i="13"/>
  <c r="AI162" i="13" s="1"/>
  <c r="AI165" i="13" s="1"/>
  <c r="AL149" i="13"/>
  <c r="AK159" i="13"/>
  <c r="M51" i="13"/>
  <c r="AM23" i="13"/>
  <c r="AM25" i="13"/>
  <c r="AM27" i="13"/>
  <c r="AM29" i="13"/>
  <c r="AM31" i="13"/>
  <c r="H51" i="13"/>
  <c r="L51" i="13"/>
  <c r="L162" i="13" s="1"/>
  <c r="L165" i="13" s="1"/>
  <c r="P51" i="13"/>
  <c r="T51" i="13"/>
  <c r="X51" i="13"/>
  <c r="AB51" i="13"/>
  <c r="AF51" i="13"/>
  <c r="AJ51" i="13"/>
  <c r="AM66" i="13"/>
  <c r="AK80" i="13"/>
  <c r="AM80" i="13" s="1"/>
  <c r="AB101" i="13"/>
  <c r="AF101" i="13"/>
  <c r="AF162" i="13" s="1"/>
  <c r="AF165" i="13" s="1"/>
  <c r="AK100" i="13"/>
  <c r="AM89" i="13"/>
  <c r="AM92" i="13"/>
  <c r="AM97" i="13"/>
  <c r="K101" i="13"/>
  <c r="O101" i="13"/>
  <c r="W101" i="13"/>
  <c r="AE101" i="13"/>
  <c r="AM105" i="13"/>
  <c r="AM107" i="13" s="1"/>
  <c r="G115" i="13"/>
  <c r="K115" i="13"/>
  <c r="O115" i="13"/>
  <c r="O162" i="13" s="1"/>
  <c r="O165" i="13" s="1"/>
  <c r="S115" i="13"/>
  <c r="W115" i="13"/>
  <c r="AA115" i="13"/>
  <c r="AE115" i="13"/>
  <c r="AI115" i="13"/>
  <c r="AM110" i="13"/>
  <c r="AM131" i="13"/>
  <c r="D136" i="13"/>
  <c r="H136" i="13"/>
  <c r="L136" i="13"/>
  <c r="P136" i="13"/>
  <c r="T136" i="13"/>
  <c r="X136" i="13"/>
  <c r="AB136" i="13"/>
  <c r="AF136" i="13"/>
  <c r="AJ136" i="13"/>
  <c r="D101" i="13"/>
  <c r="D51" i="13"/>
  <c r="AM72" i="13"/>
  <c r="AM73" i="13"/>
  <c r="AL70" i="13"/>
  <c r="AM70" i="13" s="1"/>
  <c r="AM74" i="13"/>
  <c r="AK57" i="13"/>
  <c r="AM57" i="13" s="1"/>
  <c r="G101" i="13"/>
  <c r="G162" i="13" s="1"/>
  <c r="G165" i="13" s="1"/>
  <c r="AL51" i="13"/>
  <c r="K162" i="13"/>
  <c r="K165" i="13" s="1"/>
  <c r="W162" i="13"/>
  <c r="W165" i="13" s="1"/>
  <c r="AM50" i="13"/>
  <c r="AG162" i="13"/>
  <c r="AG165" i="13" s="1"/>
  <c r="AM61" i="13"/>
  <c r="AM62" i="13"/>
  <c r="AM64" i="13"/>
  <c r="AK136" i="13"/>
  <c r="AK160" i="13"/>
  <c r="AM67" i="13"/>
  <c r="AM21" i="13"/>
  <c r="F162" i="13"/>
  <c r="F165" i="13" s="1"/>
  <c r="J162" i="13"/>
  <c r="J165" i="13" s="1"/>
  <c r="N162" i="13"/>
  <c r="N165" i="13" s="1"/>
  <c r="Z162" i="13"/>
  <c r="Z165" i="13" s="1"/>
  <c r="AD162" i="13"/>
  <c r="AD165" i="13" s="1"/>
  <c r="AM34" i="13"/>
  <c r="P162" i="13"/>
  <c r="P165" i="13" s="1"/>
  <c r="X162" i="13"/>
  <c r="X165" i="13" s="1"/>
  <c r="AB162" i="13"/>
  <c r="AB165" i="13" s="1"/>
  <c r="AL84" i="13"/>
  <c r="AL101" i="13" s="1"/>
  <c r="AK50" i="13"/>
  <c r="R84" i="13"/>
  <c r="R101" i="13" s="1"/>
  <c r="R162" i="13" s="1"/>
  <c r="R165" i="13" s="1"/>
  <c r="AK34" i="13"/>
  <c r="I84" i="13"/>
  <c r="I101" i="13" s="1"/>
  <c r="I162" i="13" s="1"/>
  <c r="I165" i="13" s="1"/>
  <c r="Q84" i="13"/>
  <c r="Q101" i="13" s="1"/>
  <c r="Q162" i="13" s="1"/>
  <c r="Q165" i="13" s="1"/>
  <c r="AK77" i="13"/>
  <c r="AM77" i="13" s="1"/>
  <c r="T84" i="13"/>
  <c r="T101" i="13" s="1"/>
  <c r="AM109" i="13"/>
  <c r="AM119" i="13"/>
  <c r="AM125" i="13" s="1"/>
  <c r="AM139" i="13"/>
  <c r="AM144" i="13" s="1"/>
  <c r="AM146" i="13"/>
  <c r="AM149" i="13" s="1"/>
  <c r="AM156" i="13"/>
  <c r="AM159" i="13" s="1"/>
  <c r="AK21" i="13"/>
  <c r="AK55" i="13"/>
  <c r="AM127" i="13"/>
  <c r="AM135" i="13" s="1"/>
  <c r="D98" i="2"/>
  <c r="E98" i="2"/>
  <c r="F98" i="2"/>
  <c r="C98" i="2"/>
  <c r="G155" i="2"/>
  <c r="G139" i="2"/>
  <c r="G44" i="2"/>
  <c r="AK51" i="13" l="1"/>
  <c r="AA162" i="13"/>
  <c r="AA165" i="13" s="1"/>
  <c r="AM100" i="13"/>
  <c r="AM114" i="13"/>
  <c r="AM115" i="13" s="1"/>
  <c r="AC162" i="13"/>
  <c r="AC165" i="13" s="1"/>
  <c r="AH162" i="13"/>
  <c r="AH165" i="13" s="1"/>
  <c r="AL160" i="13"/>
  <c r="AL162" i="13" s="1"/>
  <c r="AL165" i="13" s="1"/>
  <c r="M162" i="13"/>
  <c r="M165" i="13" s="1"/>
  <c r="E162" i="13"/>
  <c r="E165" i="13" s="1"/>
  <c r="AE162" i="13"/>
  <c r="AE165" i="13" s="1"/>
  <c r="AJ162" i="13"/>
  <c r="AJ165" i="13" s="1"/>
  <c r="Y162" i="13"/>
  <c r="Y165" i="13" s="1"/>
  <c r="AM136" i="13"/>
  <c r="T162" i="13"/>
  <c r="T165" i="13" s="1"/>
  <c r="AM51" i="13"/>
  <c r="D162" i="13"/>
  <c r="AK84" i="13"/>
  <c r="AK101" i="13" s="1"/>
  <c r="AK162" i="13" s="1"/>
  <c r="AK165" i="13" s="1"/>
  <c r="AM55" i="13"/>
  <c r="AM84" i="13" s="1"/>
  <c r="AM101" i="13" s="1"/>
  <c r="AM160" i="13"/>
  <c r="M139" i="2"/>
  <c r="L139" i="2"/>
  <c r="K139" i="2"/>
  <c r="J139" i="2"/>
  <c r="I139" i="2"/>
  <c r="H139" i="2"/>
  <c r="N108" i="2"/>
  <c r="G64" i="2"/>
  <c r="H64" i="2" s="1"/>
  <c r="H44" i="2"/>
  <c r="I44" i="2" s="1"/>
  <c r="J44" i="2" s="1"/>
  <c r="K44" i="2" s="1"/>
  <c r="L44" i="2" s="1"/>
  <c r="M44" i="2" s="1"/>
  <c r="I40" i="2"/>
  <c r="J40" i="2" s="1"/>
  <c r="K40" i="2" s="1"/>
  <c r="L40" i="2" s="1"/>
  <c r="M40" i="2" s="1"/>
  <c r="I39" i="2"/>
  <c r="J39" i="2" s="1"/>
  <c r="K39" i="2" s="1"/>
  <c r="L39" i="2" s="1"/>
  <c r="M39" i="2" s="1"/>
  <c r="I38" i="2"/>
  <c r="J38" i="2" s="1"/>
  <c r="K38" i="2" s="1"/>
  <c r="L38" i="2" s="1"/>
  <c r="M38" i="2" s="1"/>
  <c r="I37" i="2"/>
  <c r="J37" i="2" s="1"/>
  <c r="K37" i="2" s="1"/>
  <c r="L37" i="2" s="1"/>
  <c r="M37" i="2" s="1"/>
  <c r="I36" i="2"/>
  <c r="J36" i="2" s="1"/>
  <c r="K36" i="2" s="1"/>
  <c r="L36" i="2" s="1"/>
  <c r="M36" i="2" s="1"/>
  <c r="I35" i="2"/>
  <c r="J35" i="2" s="1"/>
  <c r="K35" i="2" s="1"/>
  <c r="L35" i="2" s="1"/>
  <c r="M35" i="2" s="1"/>
  <c r="H34" i="2"/>
  <c r="I34" i="2" s="1"/>
  <c r="J34" i="2" s="1"/>
  <c r="K34" i="2" s="1"/>
  <c r="L34" i="2" s="1"/>
  <c r="M34" i="2" s="1"/>
  <c r="H33" i="2"/>
  <c r="I33" i="2" s="1"/>
  <c r="J33" i="2" s="1"/>
  <c r="K33" i="2" s="1"/>
  <c r="L33" i="2" s="1"/>
  <c r="M33" i="2" s="1"/>
  <c r="I16" i="2"/>
  <c r="J16" i="2" s="1"/>
  <c r="K16" i="2" s="1"/>
  <c r="L16" i="2" s="1"/>
  <c r="M16" i="2" s="1"/>
  <c r="I15" i="2"/>
  <c r="I14" i="2"/>
  <c r="J14" i="2" s="1"/>
  <c r="K14" i="2" s="1"/>
  <c r="L14" i="2" s="1"/>
  <c r="M14" i="2" s="1"/>
  <c r="J13" i="2"/>
  <c r="K13" i="2" s="1"/>
  <c r="L13" i="2" s="1"/>
  <c r="M13" i="2" s="1"/>
  <c r="H11" i="2"/>
  <c r="I11" i="2" s="1"/>
  <c r="J11" i="2" s="1"/>
  <c r="K11" i="2" s="1"/>
  <c r="L11" i="2" s="1"/>
  <c r="M11" i="2" s="1"/>
  <c r="H10" i="2"/>
  <c r="I10" i="2" s="1"/>
  <c r="J10" i="2" s="1"/>
  <c r="K10" i="2" s="1"/>
  <c r="L10" i="2" s="1"/>
  <c r="M10" i="2" s="1"/>
  <c r="J15" i="2" l="1"/>
  <c r="K15" i="2" s="1"/>
  <c r="L15" i="2" s="1"/>
  <c r="M15" i="2" s="1"/>
  <c r="AM162" i="13"/>
  <c r="AM165" i="13" s="1"/>
  <c r="I64" i="2"/>
  <c r="J64" i="2"/>
  <c r="N139" i="2"/>
  <c r="N15" i="2" l="1"/>
  <c r="N12" i="2"/>
  <c r="N64" i="2"/>
  <c r="G96" i="2"/>
  <c r="J96" i="2" s="1"/>
  <c r="N96" i="2" s="1"/>
  <c r="G95" i="2"/>
  <c r="G94" i="2"/>
  <c r="J94" i="2" l="1"/>
  <c r="I94" i="2"/>
  <c r="L95" i="2"/>
  <c r="K95" i="2"/>
  <c r="F159" i="2"/>
  <c r="E159" i="2"/>
  <c r="D159" i="2"/>
  <c r="C159" i="2"/>
  <c r="F144" i="2"/>
  <c r="E144" i="2"/>
  <c r="D144" i="2"/>
  <c r="C144" i="2"/>
  <c r="F135" i="2"/>
  <c r="E135" i="2"/>
  <c r="D135" i="2"/>
  <c r="C135" i="2"/>
  <c r="F125" i="2"/>
  <c r="E125" i="2"/>
  <c r="D125" i="2"/>
  <c r="C125" i="2"/>
  <c r="F113" i="2"/>
  <c r="E113" i="2"/>
  <c r="D113" i="2"/>
  <c r="C113" i="2"/>
  <c r="F82" i="2"/>
  <c r="E82" i="2"/>
  <c r="F47" i="2"/>
  <c r="E47" i="2"/>
  <c r="D47" i="2"/>
  <c r="C47" i="2"/>
  <c r="F31" i="2"/>
  <c r="E31" i="2"/>
  <c r="D31" i="2"/>
  <c r="C31" i="2"/>
  <c r="G110" i="2"/>
  <c r="G92" i="2"/>
  <c r="G91" i="2"/>
  <c r="G90" i="2"/>
  <c r="G89" i="2"/>
  <c r="G142" i="2"/>
  <c r="G88" i="2"/>
  <c r="G87" i="2"/>
  <c r="F149" i="2"/>
  <c r="G152" i="2"/>
  <c r="G84" i="2"/>
  <c r="G141" i="2"/>
  <c r="G123" i="2"/>
  <c r="G119" i="2"/>
  <c r="G108" i="2"/>
  <c r="G140" i="2"/>
  <c r="G133" i="2"/>
  <c r="G111" i="2"/>
  <c r="G45" i="2"/>
  <c r="G47" i="2" s="1"/>
  <c r="G23" i="2"/>
  <c r="G22" i="2"/>
  <c r="G40" i="2"/>
  <c r="G39" i="2"/>
  <c r="G38" i="2"/>
  <c r="G37" i="2"/>
  <c r="G36" i="2"/>
  <c r="G35" i="2"/>
  <c r="G15" i="2"/>
  <c r="G13" i="2"/>
  <c r="G11" i="2"/>
  <c r="G10" i="2"/>
  <c r="A10" i="2"/>
  <c r="G144" i="2" l="1"/>
  <c r="I22" i="2"/>
  <c r="H22" i="2"/>
  <c r="L22" i="2"/>
  <c r="K22" i="2"/>
  <c r="J22" i="2"/>
  <c r="H123" i="2"/>
  <c r="J123" i="2"/>
  <c r="L89" i="2"/>
  <c r="H89" i="2"/>
  <c r="I89" i="2"/>
  <c r="K89" i="2"/>
  <c r="J89" i="2"/>
  <c r="J110" i="2"/>
  <c r="L110" i="2"/>
  <c r="K110" i="2"/>
  <c r="I110" i="2"/>
  <c r="M110" i="2"/>
  <c r="H110" i="2"/>
  <c r="H113" i="2" s="1"/>
  <c r="I23" i="2"/>
  <c r="K23" i="2"/>
  <c r="J23" i="2"/>
  <c r="L23" i="2"/>
  <c r="K140" i="2"/>
  <c r="M140" i="2"/>
  <c r="L140" i="2"/>
  <c r="J140" i="2"/>
  <c r="I140" i="2"/>
  <c r="I141" i="2"/>
  <c r="L141" i="2"/>
  <c r="H141" i="2"/>
  <c r="K141" i="2"/>
  <c r="J141" i="2"/>
  <c r="H87" i="2"/>
  <c r="I87" i="2"/>
  <c r="M90" i="2"/>
  <c r="K90" i="2"/>
  <c r="J90" i="2"/>
  <c r="L90" i="2"/>
  <c r="J84" i="2"/>
  <c r="M84" i="2"/>
  <c r="L84" i="2"/>
  <c r="K84" i="2"/>
  <c r="I84" i="2"/>
  <c r="H84" i="2"/>
  <c r="L88" i="2"/>
  <c r="J88" i="2"/>
  <c r="I88" i="2"/>
  <c r="M88" i="2"/>
  <c r="L91" i="2"/>
  <c r="K91" i="2"/>
  <c r="J91" i="2"/>
  <c r="I91" i="2"/>
  <c r="F160" i="2"/>
  <c r="N94" i="2"/>
  <c r="L119" i="2"/>
  <c r="H119" i="2"/>
  <c r="K119" i="2"/>
  <c r="J119" i="2"/>
  <c r="I119" i="2"/>
  <c r="M119" i="2"/>
  <c r="M125" i="2" s="1"/>
  <c r="K152" i="2"/>
  <c r="J152" i="2"/>
  <c r="I152" i="2"/>
  <c r="L152" i="2"/>
  <c r="L142" i="2"/>
  <c r="H142" i="2"/>
  <c r="K142" i="2"/>
  <c r="J142" i="2"/>
  <c r="I142" i="2"/>
  <c r="M142" i="2"/>
  <c r="J92" i="2"/>
  <c r="I92" i="2"/>
  <c r="N95" i="2"/>
  <c r="K18" i="12"/>
  <c r="L18" i="12" s="1"/>
  <c r="K13" i="12"/>
  <c r="L13" i="12"/>
  <c r="N87" i="2" l="1"/>
  <c r="N110" i="2"/>
  <c r="H144" i="2"/>
  <c r="H98" i="2"/>
  <c r="N92" i="2"/>
  <c r="N90" i="2"/>
  <c r="J144" i="2"/>
  <c r="N142" i="2"/>
  <c r="N91" i="2"/>
  <c r="L144" i="2"/>
  <c r="N152" i="2"/>
  <c r="N84" i="2"/>
  <c r="N141" i="2"/>
  <c r="M144" i="2"/>
  <c r="N89" i="2"/>
  <c r="J125" i="2"/>
  <c r="N88" i="2"/>
  <c r="N140" i="2"/>
  <c r="I144" i="2"/>
  <c r="K144" i="2"/>
  <c r="N23" i="2"/>
  <c r="N119" i="2"/>
  <c r="N123" i="2"/>
  <c r="G9" i="12"/>
  <c r="K9" i="12" s="1"/>
  <c r="L9" i="12" s="1"/>
  <c r="G10" i="12"/>
  <c r="K10" i="12" s="1"/>
  <c r="L10" i="12" s="1"/>
  <c r="G11" i="12"/>
  <c r="K11" i="12" s="1"/>
  <c r="L11" i="12" s="1"/>
  <c r="G8" i="12"/>
  <c r="K8" i="12" s="1"/>
  <c r="L8" i="12" s="1"/>
  <c r="C22" i="12"/>
  <c r="I17" i="12"/>
  <c r="F17" i="12"/>
  <c r="D17" i="12"/>
  <c r="J16" i="12"/>
  <c r="K16" i="12" s="1"/>
  <c r="L16" i="12" s="1"/>
  <c r="D16" i="12"/>
  <c r="J15" i="12"/>
  <c r="K15" i="12" s="1"/>
  <c r="L15" i="12" s="1"/>
  <c r="D15" i="12"/>
  <c r="D14" i="12"/>
  <c r="J14" i="12" s="1"/>
  <c r="F14" i="12" s="1"/>
  <c r="D13" i="12"/>
  <c r="D12" i="12"/>
  <c r="D11" i="12"/>
  <c r="E8" i="12"/>
  <c r="D8" i="12"/>
  <c r="E7" i="12"/>
  <c r="F7" i="12" s="1"/>
  <c r="K7" i="12" s="1"/>
  <c r="L7" i="12" s="1"/>
  <c r="I6" i="12"/>
  <c r="H6" i="12"/>
  <c r="F6" i="12"/>
  <c r="D6" i="12"/>
  <c r="E5" i="12"/>
  <c r="D5" i="12"/>
  <c r="A5" i="12"/>
  <c r="A6" i="12" s="1"/>
  <c r="A7" i="12" s="1"/>
  <c r="A8" i="12" s="1"/>
  <c r="A9" i="12" s="1"/>
  <c r="A10" i="12" s="1"/>
  <c r="A11" i="12" s="1"/>
  <c r="A12" i="12" s="1"/>
  <c r="A13" i="12" s="1"/>
  <c r="A14" i="12" s="1"/>
  <c r="A15" i="12" s="1"/>
  <c r="A16" i="12" s="1"/>
  <c r="A17" i="12" s="1"/>
  <c r="F4" i="12"/>
  <c r="D4" i="12"/>
  <c r="I14" i="12" l="1"/>
  <c r="K6" i="12"/>
  <c r="L6" i="12" s="1"/>
  <c r="N144" i="2"/>
  <c r="C5" i="12"/>
  <c r="D19" i="12"/>
  <c r="C19" i="12"/>
  <c r="H4" i="12"/>
  <c r="H5" i="12"/>
  <c r="H14" i="12"/>
  <c r="K14" i="12" s="1"/>
  <c r="L14" i="12" s="1"/>
  <c r="H17" i="12"/>
  <c r="K17" i="12" s="1"/>
  <c r="L17" i="12" s="1"/>
  <c r="I4" i="12"/>
  <c r="C82" i="2"/>
  <c r="C18" i="2"/>
  <c r="N38" i="2"/>
  <c r="K4" i="12" l="1"/>
  <c r="L4" i="12" s="1"/>
  <c r="D82" i="2"/>
  <c r="F5" i="12"/>
  <c r="F19" i="12" s="1"/>
  <c r="I5" i="12"/>
  <c r="H19" i="12"/>
  <c r="K5" i="12" l="1"/>
  <c r="L5" i="12" s="1"/>
  <c r="I19" i="12"/>
  <c r="G60" i="2" l="1"/>
  <c r="I60" i="2" l="1"/>
  <c r="J60" i="2"/>
  <c r="K60" i="2"/>
  <c r="N60" i="2" l="1"/>
  <c r="C106" i="2"/>
  <c r="G156" i="2"/>
  <c r="G157" i="2"/>
  <c r="M157" i="2" s="1"/>
  <c r="G159" i="2" l="1"/>
  <c r="M159" i="2"/>
  <c r="I157" i="2"/>
  <c r="I159" i="2" s="1"/>
  <c r="L157" i="2"/>
  <c r="L159" i="2" s="1"/>
  <c r="H157" i="2"/>
  <c r="H159" i="2" s="1"/>
  <c r="K157" i="2"/>
  <c r="K159" i="2" s="1"/>
  <c r="J157" i="2"/>
  <c r="J159" i="2" s="1"/>
  <c r="G61" i="2"/>
  <c r="G63" i="2"/>
  <c r="G62" i="2"/>
  <c r="G65" i="2"/>
  <c r="G66" i="2"/>
  <c r="G67" i="2"/>
  <c r="G68" i="2"/>
  <c r="G69" i="2"/>
  <c r="G70" i="2"/>
  <c r="G71" i="2"/>
  <c r="G72" i="2"/>
  <c r="G73" i="2"/>
  <c r="G74" i="2"/>
  <c r="G75" i="2"/>
  <c r="G76" i="2"/>
  <c r="G77" i="2"/>
  <c r="G78" i="2"/>
  <c r="G79" i="2"/>
  <c r="G80" i="2"/>
  <c r="J69" i="2" l="1"/>
  <c r="K69" i="2"/>
  <c r="I69" i="2"/>
  <c r="H69" i="2"/>
  <c r="I65" i="2"/>
  <c r="J65" i="2"/>
  <c r="H65" i="2"/>
  <c r="K65" i="2"/>
  <c r="L80" i="2"/>
  <c r="M80" i="2"/>
  <c r="K80" i="2"/>
  <c r="L76" i="2"/>
  <c r="H76" i="2"/>
  <c r="M76" i="2"/>
  <c r="K76" i="2"/>
  <c r="J76" i="2"/>
  <c r="I76" i="2"/>
  <c r="J72" i="2"/>
  <c r="I72" i="2"/>
  <c r="M72" i="2"/>
  <c r="L72" i="2"/>
  <c r="K72" i="2"/>
  <c r="K68" i="2"/>
  <c r="J68" i="2"/>
  <c r="I68" i="2"/>
  <c r="H68" i="2"/>
  <c r="K62" i="2"/>
  <c r="M62" i="2"/>
  <c r="L62" i="2"/>
  <c r="J62" i="2"/>
  <c r="J73" i="2"/>
  <c r="K73" i="2"/>
  <c r="M73" i="2"/>
  <c r="L73" i="2"/>
  <c r="K79" i="2"/>
  <c r="L79" i="2"/>
  <c r="J79" i="2"/>
  <c r="M79" i="2"/>
  <c r="J75" i="2"/>
  <c r="M75" i="2"/>
  <c r="L75" i="2"/>
  <c r="K75" i="2"/>
  <c r="K71" i="2"/>
  <c r="J71" i="2"/>
  <c r="M71" i="2"/>
  <c r="L71" i="2"/>
  <c r="M67" i="2"/>
  <c r="I67" i="2"/>
  <c r="K67" i="2"/>
  <c r="J67" i="2"/>
  <c r="L67" i="2"/>
  <c r="K63" i="2"/>
  <c r="M63" i="2"/>
  <c r="L63" i="2"/>
  <c r="J63" i="2"/>
  <c r="J77" i="2"/>
  <c r="H77" i="2"/>
  <c r="M77" i="2"/>
  <c r="L77" i="2"/>
  <c r="K77" i="2"/>
  <c r="I77" i="2"/>
  <c r="K78" i="2"/>
  <c r="M78" i="2"/>
  <c r="L78" i="2"/>
  <c r="J74" i="2"/>
  <c r="M74" i="2"/>
  <c r="L74" i="2"/>
  <c r="K74" i="2"/>
  <c r="K70" i="2"/>
  <c r="M70" i="2"/>
  <c r="H70" i="2"/>
  <c r="L70" i="2"/>
  <c r="J70" i="2"/>
  <c r="I70" i="2"/>
  <c r="J66" i="2"/>
  <c r="L66" i="2"/>
  <c r="K66" i="2"/>
  <c r="I66" i="2"/>
  <c r="M66" i="2"/>
  <c r="J61" i="2"/>
  <c r="K61" i="2"/>
  <c r="I61" i="2"/>
  <c r="L61" i="2"/>
  <c r="N67" i="2" l="1"/>
  <c r="N71" i="2"/>
  <c r="N69" i="2"/>
  <c r="N80" i="2"/>
  <c r="N70" i="2"/>
  <c r="N63" i="2"/>
  <c r="N75" i="2"/>
  <c r="N73" i="2"/>
  <c r="N72" i="2"/>
  <c r="N65" i="2"/>
  <c r="N61" i="2"/>
  <c r="N66" i="2"/>
  <c r="N78" i="2"/>
  <c r="N62" i="2"/>
  <c r="N68" i="2"/>
  <c r="N74" i="2"/>
  <c r="N77" i="2"/>
  <c r="N79" i="2"/>
  <c r="G128" i="2"/>
  <c r="G132" i="2"/>
  <c r="I42" i="2"/>
  <c r="J42" i="2"/>
  <c r="K42" i="2"/>
  <c r="L42" i="2"/>
  <c r="M42" i="2"/>
  <c r="L130" i="2" l="1"/>
  <c r="H130" i="2"/>
  <c r="K130" i="2"/>
  <c r="J130" i="2"/>
  <c r="I130" i="2"/>
  <c r="M130" i="2"/>
  <c r="J132" i="2"/>
  <c r="K132" i="2"/>
  <c r="I132" i="2"/>
  <c r="M132" i="2"/>
  <c r="H132" i="2"/>
  <c r="L132" i="2"/>
  <c r="I18" i="2"/>
  <c r="J18" i="2"/>
  <c r="K18" i="2"/>
  <c r="L18" i="2"/>
  <c r="M18" i="2"/>
  <c r="N128" i="2"/>
  <c r="N156" i="2"/>
  <c r="N40" i="2"/>
  <c r="N36" i="2"/>
  <c r="N39" i="2"/>
  <c r="N37" i="2"/>
  <c r="N35" i="2"/>
  <c r="N34" i="2"/>
  <c r="N33" i="2"/>
  <c r="N130" i="2" l="1"/>
  <c r="N132" i="2"/>
  <c r="K135" i="2"/>
  <c r="N42" i="2"/>
  <c r="J135" i="2"/>
  <c r="M135" i="2"/>
  <c r="H135" i="2"/>
  <c r="I135" i="2"/>
  <c r="L135" i="2"/>
  <c r="N16" i="2"/>
  <c r="N157" i="2" l="1"/>
  <c r="N155" i="2"/>
  <c r="N127" i="2"/>
  <c r="N135" i="2" s="1"/>
  <c r="M136" i="2"/>
  <c r="M47" i="2"/>
  <c r="M106" i="2"/>
  <c r="H18" i="2"/>
  <c r="G34" i="2"/>
  <c r="G33" i="2"/>
  <c r="G14" i="2"/>
  <c r="G16" i="2"/>
  <c r="D18" i="2"/>
  <c r="E18" i="2"/>
  <c r="F18" i="2"/>
  <c r="G18" i="2" l="1"/>
  <c r="G42" i="2"/>
  <c r="N159" i="2"/>
  <c r="N10" i="2" l="1"/>
  <c r="N11" i="2"/>
  <c r="N13" i="2"/>
  <c r="N14" i="2"/>
  <c r="N22" i="2"/>
  <c r="N18" i="2" l="1"/>
  <c r="G85" i="2"/>
  <c r="K85" i="2" l="1"/>
  <c r="L85" i="2"/>
  <c r="J85" i="2"/>
  <c r="I85" i="2"/>
  <c r="M85" i="2"/>
  <c r="I47" i="2"/>
  <c r="J47" i="2"/>
  <c r="K47" i="2"/>
  <c r="L47" i="2"/>
  <c r="N85" i="2" l="1"/>
  <c r="G21" i="2"/>
  <c r="G24" i="2"/>
  <c r="G25" i="2"/>
  <c r="G26" i="2"/>
  <c r="G27" i="2"/>
  <c r="G28" i="2"/>
  <c r="G29" i="2"/>
  <c r="K21" i="2" l="1"/>
  <c r="J21" i="2"/>
  <c r="L21" i="2"/>
  <c r="I21" i="2"/>
  <c r="M21" i="2"/>
  <c r="H21" i="2"/>
  <c r="I26" i="2"/>
  <c r="H26" i="2"/>
  <c r="I25" i="2"/>
  <c r="H25" i="2"/>
  <c r="I28" i="2"/>
  <c r="H28" i="2"/>
  <c r="J24" i="2"/>
  <c r="I24" i="2"/>
  <c r="I27" i="2"/>
  <c r="J27" i="2"/>
  <c r="L27" i="2"/>
  <c r="K29" i="2"/>
  <c r="J29" i="2"/>
  <c r="I29" i="2"/>
  <c r="H42" i="2"/>
  <c r="G54" i="2"/>
  <c r="G55" i="2"/>
  <c r="G56" i="2"/>
  <c r="G57" i="2"/>
  <c r="G58" i="2"/>
  <c r="G59" i="2"/>
  <c r="G53" i="2"/>
  <c r="D42" i="2"/>
  <c r="E42" i="2"/>
  <c r="F42" i="2"/>
  <c r="F49" i="2" s="1"/>
  <c r="C42" i="2"/>
  <c r="G20" i="2"/>
  <c r="A53" i="2"/>
  <c r="A54" i="2" s="1"/>
  <c r="A55" i="2" s="1"/>
  <c r="A56" i="2" s="1"/>
  <c r="A57" i="2" s="1"/>
  <c r="A20" i="2"/>
  <c r="A21" i="2" s="1"/>
  <c r="A22" i="2" s="1"/>
  <c r="A34" i="2"/>
  <c r="A35" i="2" s="1"/>
  <c r="A36" i="2" s="1"/>
  <c r="A37" i="2" s="1"/>
  <c r="A38" i="2" s="1"/>
  <c r="A39" i="2" s="1"/>
  <c r="A40" i="2" s="1"/>
  <c r="A11" i="2"/>
  <c r="A12" i="2" s="1"/>
  <c r="A13" i="2" s="1"/>
  <c r="A14" i="2" s="1"/>
  <c r="A15" i="2" s="1"/>
  <c r="A16" i="2" s="1"/>
  <c r="K20" i="2" l="1"/>
  <c r="G31" i="2"/>
  <c r="G49" i="2" s="1"/>
  <c r="H20" i="2"/>
  <c r="J20" i="2"/>
  <c r="J31" i="2" s="1"/>
  <c r="L20" i="2"/>
  <c r="M20" i="2"/>
  <c r="M31" i="2" s="1"/>
  <c r="M49" i="2" s="1"/>
  <c r="I20" i="2"/>
  <c r="G82" i="2"/>
  <c r="N24" i="2"/>
  <c r="N27" i="2"/>
  <c r="K57" i="2"/>
  <c r="L57" i="2"/>
  <c r="M57" i="2"/>
  <c r="K58" i="2"/>
  <c r="M58" i="2"/>
  <c r="L58" i="2"/>
  <c r="J58" i="2"/>
  <c r="I54" i="2"/>
  <c r="K54" i="2"/>
  <c r="J54" i="2"/>
  <c r="H54" i="2"/>
  <c r="N29" i="2"/>
  <c r="N28" i="2"/>
  <c r="N26" i="2"/>
  <c r="H53" i="2"/>
  <c r="J53" i="2"/>
  <c r="I53" i="2"/>
  <c r="I56" i="2"/>
  <c r="H56" i="2"/>
  <c r="N25" i="2"/>
  <c r="N21" i="2"/>
  <c r="H31" i="2"/>
  <c r="J59" i="2"/>
  <c r="L59" i="2"/>
  <c r="K59" i="2"/>
  <c r="I59" i="2"/>
  <c r="M59" i="2"/>
  <c r="I55" i="2"/>
  <c r="J55" i="2"/>
  <c r="H55" i="2"/>
  <c r="A23" i="2"/>
  <c r="A24" i="2" s="1"/>
  <c r="A25" i="2" s="1"/>
  <c r="A26" i="2" s="1"/>
  <c r="A27" i="2" s="1"/>
  <c r="A28" i="2" s="1"/>
  <c r="A29" i="2" s="1"/>
  <c r="A58" i="2"/>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I31" i="2"/>
  <c r="N20" i="2" l="1"/>
  <c r="N31" i="2" s="1"/>
  <c r="N53" i="2"/>
  <c r="K82" i="2"/>
  <c r="N57" i="2"/>
  <c r="N59" i="2"/>
  <c r="N56" i="2"/>
  <c r="J82" i="2"/>
  <c r="M82" i="2"/>
  <c r="N55" i="2"/>
  <c r="I82" i="2"/>
  <c r="N54" i="2"/>
  <c r="N58" i="2"/>
  <c r="K31" i="2"/>
  <c r="L31" i="2" l="1"/>
  <c r="J136" i="2" l="1"/>
  <c r="L49" i="2"/>
  <c r="K49" i="2"/>
  <c r="J49" i="2"/>
  <c r="I49" i="2"/>
  <c r="G147" i="2"/>
  <c r="G146" i="2"/>
  <c r="G149" i="2" s="1"/>
  <c r="G160" i="2" s="1"/>
  <c r="D149" i="2"/>
  <c r="D160" i="2" s="1"/>
  <c r="E149" i="2"/>
  <c r="E160" i="2" s="1"/>
  <c r="C149" i="2"/>
  <c r="G127" i="2"/>
  <c r="G135" i="2" s="1"/>
  <c r="G122" i="2"/>
  <c r="G121" i="2"/>
  <c r="D106" i="2"/>
  <c r="E106" i="2"/>
  <c r="F106" i="2"/>
  <c r="F100" i="2"/>
  <c r="G86" i="2"/>
  <c r="G93" i="2"/>
  <c r="I93" i="2" s="1"/>
  <c r="E49" i="2"/>
  <c r="C49" i="2"/>
  <c r="G125" i="2" l="1"/>
  <c r="G136" i="2" s="1"/>
  <c r="G98" i="2"/>
  <c r="G100" i="2" s="1"/>
  <c r="J93" i="2"/>
  <c r="K93" i="2"/>
  <c r="L93" i="2"/>
  <c r="I146" i="2"/>
  <c r="I149" i="2" s="1"/>
  <c r="I160" i="2" s="1"/>
  <c r="L146" i="2"/>
  <c r="L149" i="2" s="1"/>
  <c r="L160" i="2" s="1"/>
  <c r="K146" i="2"/>
  <c r="K149" i="2" s="1"/>
  <c r="K160" i="2" s="1"/>
  <c r="J146" i="2"/>
  <c r="J149" i="2" s="1"/>
  <c r="J160" i="2" s="1"/>
  <c r="M146" i="2"/>
  <c r="M149" i="2" s="1"/>
  <c r="M160" i="2" s="1"/>
  <c r="H146" i="2"/>
  <c r="J86" i="2"/>
  <c r="L86" i="2"/>
  <c r="L98" i="2" s="1"/>
  <c r="K86" i="2"/>
  <c r="I86" i="2"/>
  <c r="M86" i="2"/>
  <c r="C160" i="2"/>
  <c r="I121" i="2"/>
  <c r="I125" i="2" s="1"/>
  <c r="I136" i="2" s="1"/>
  <c r="K121" i="2"/>
  <c r="H121" i="2"/>
  <c r="K122" i="2"/>
  <c r="L122" i="2"/>
  <c r="L125" i="2" s="1"/>
  <c r="L136" i="2" s="1"/>
  <c r="I122" i="2"/>
  <c r="H122" i="2"/>
  <c r="D100" i="2"/>
  <c r="E100" i="2"/>
  <c r="E162" i="2"/>
  <c r="C100" i="2"/>
  <c r="C162" i="2"/>
  <c r="N146" i="2"/>
  <c r="N149" i="2" s="1"/>
  <c r="D136" i="2"/>
  <c r="C136" i="2"/>
  <c r="N45" i="2"/>
  <c r="H149" i="2"/>
  <c r="E136" i="2"/>
  <c r="E115" i="2"/>
  <c r="D115" i="2"/>
  <c r="F136" i="2"/>
  <c r="I98" i="2" l="1"/>
  <c r="J98" i="2"/>
  <c r="J100" i="2" s="1"/>
  <c r="K98" i="2"/>
  <c r="K100" i="2" s="1"/>
  <c r="M98" i="2"/>
  <c r="M100" i="2" s="1"/>
  <c r="N160" i="2"/>
  <c r="H160" i="2"/>
  <c r="K125" i="2"/>
  <c r="K136" i="2" s="1"/>
  <c r="N86" i="2"/>
  <c r="N93" i="2"/>
  <c r="N122" i="2"/>
  <c r="H125" i="2"/>
  <c r="H136" i="2" s="1"/>
  <c r="N121" i="2"/>
  <c r="N125" i="2" s="1"/>
  <c r="N98" i="2" l="1"/>
  <c r="I100" i="2"/>
  <c r="H47" i="2"/>
  <c r="H49" i="2" l="1"/>
  <c r="F162" i="2"/>
  <c r="G109" i="2"/>
  <c r="G113" i="2" s="1"/>
  <c r="L109" i="2" l="1"/>
  <c r="M109" i="2"/>
  <c r="M113" i="2" s="1"/>
  <c r="M115" i="2" s="1"/>
  <c r="M162" i="2" s="1"/>
  <c r="K109" i="2"/>
  <c r="K113" i="2" s="1"/>
  <c r="J109" i="2"/>
  <c r="J113" i="2" s="1"/>
  <c r="I109" i="2"/>
  <c r="I113" i="2" s="1"/>
  <c r="F115" i="2"/>
  <c r="N136" i="2"/>
  <c r="H82" i="2"/>
  <c r="H100" i="2" s="1"/>
  <c r="L82" i="2"/>
  <c r="L100" i="2" s="1"/>
  <c r="N109" i="2" l="1"/>
  <c r="L113" i="2"/>
  <c r="N76" i="2"/>
  <c r="N113" i="2" l="1"/>
  <c r="N82" i="2"/>
  <c r="N44" i="2"/>
  <c r="N47" i="2" l="1"/>
  <c r="N49" i="2" s="1"/>
  <c r="D49" i="2"/>
  <c r="D162" i="2"/>
  <c r="N100" i="2"/>
  <c r="C115" i="2"/>
  <c r="G162" i="2" l="1"/>
  <c r="G104" i="2"/>
  <c r="G106" i="2" s="1"/>
  <c r="G115" i="2" s="1"/>
  <c r="L104" i="2" l="1"/>
  <c r="L106" i="2" s="1"/>
  <c r="L115" i="2" s="1"/>
  <c r="L162" i="2" s="1"/>
  <c r="H104" i="2"/>
  <c r="K104" i="2"/>
  <c r="K106" i="2" s="1"/>
  <c r="K115" i="2" s="1"/>
  <c r="K162" i="2" s="1"/>
  <c r="J104" i="2"/>
  <c r="J106" i="2" s="1"/>
  <c r="J115" i="2" s="1"/>
  <c r="J162" i="2" s="1"/>
  <c r="I104" i="2"/>
  <c r="I106" i="2" s="1"/>
  <c r="I115" i="2" s="1"/>
  <c r="I162" i="2" s="1"/>
  <c r="N104" i="2" l="1"/>
  <c r="H106" i="2"/>
  <c r="N106" i="2" l="1"/>
  <c r="H115" i="2"/>
  <c r="H162" i="2" s="1"/>
  <c r="J12" i="12"/>
  <c r="J19" i="12" s="1"/>
  <c r="G19" i="12"/>
  <c r="N115" i="2" l="1"/>
  <c r="K12" i="12"/>
  <c r="L12" i="12" s="1"/>
  <c r="M12" i="12"/>
  <c r="K19" i="12"/>
  <c r="L19" i="12" s="1"/>
  <c r="N162" i="2" l="1"/>
</calcChain>
</file>

<file path=xl/comments1.xml><?xml version="1.0" encoding="utf-8"?>
<comments xmlns="http://schemas.openxmlformats.org/spreadsheetml/2006/main">
  <authors>
    <author>MZieren</author>
    <author>Patcharin Supitchakul</author>
  </authors>
  <commentList>
    <comment ref="L12" authorId="0" shapeId="0">
      <text>
        <r>
          <rPr>
            <b/>
            <sz val="9"/>
            <color indexed="81"/>
            <rFont val="Tahoma"/>
            <family val="2"/>
          </rPr>
          <t>MZieren:</t>
        </r>
        <r>
          <rPr>
            <sz val="9"/>
            <color indexed="81"/>
            <rFont val="Tahoma"/>
            <family val="2"/>
          </rPr>
          <t xml:space="preserve">
6 and 3
 months input, respectively</t>
        </r>
      </text>
    </comment>
    <comment ref="H15" authorId="0" shapeId="0">
      <text>
        <r>
          <rPr>
            <b/>
            <sz val="9"/>
            <color indexed="81"/>
            <rFont val="Tahoma"/>
            <family val="2"/>
          </rPr>
          <t>MZieren:</t>
        </r>
        <r>
          <rPr>
            <sz val="9"/>
            <color indexed="81"/>
            <rFont val="Tahoma"/>
            <family val="2"/>
          </rPr>
          <t xml:space="preserve">
annual fee plus USD 2000 for 'others'</t>
        </r>
      </text>
    </comment>
    <comment ref="M157" authorId="1" shapeId="0">
      <text>
        <r>
          <rPr>
            <b/>
            <sz val="11"/>
            <color indexed="81"/>
            <rFont val="Tahoma"/>
            <family val="2"/>
          </rPr>
          <t>Adjustment of $1.67 to round up the total amount.</t>
        </r>
        <r>
          <rPr>
            <sz val="9"/>
            <color indexed="81"/>
            <rFont val="Tahoma"/>
            <family val="2"/>
          </rPr>
          <t xml:space="preserve">
</t>
        </r>
      </text>
    </comment>
  </commentList>
</comments>
</file>

<file path=xl/sharedStrings.xml><?xml version="1.0" encoding="utf-8"?>
<sst xmlns="http://schemas.openxmlformats.org/spreadsheetml/2006/main" count="419" uniqueCount="232">
  <si>
    <t xml:space="preserve">Expenditure by project component/activity (provide description)
</t>
  </si>
  <si>
    <t>Amount (US $)</t>
  </si>
  <si>
    <t>UNEP Budget Line Reference No.</t>
  </si>
  <si>
    <t>UNEP Budget Line</t>
  </si>
  <si>
    <t>Year 1</t>
  </si>
  <si>
    <t>Year 2</t>
  </si>
  <si>
    <t>Year 3</t>
  </si>
  <si>
    <t>Year 4</t>
  </si>
  <si>
    <t>Total (US $)</t>
  </si>
  <si>
    <t>Project personnel component</t>
  </si>
  <si>
    <t>Total</t>
  </si>
  <si>
    <t>Component Total</t>
  </si>
  <si>
    <t>Subcontract component</t>
  </si>
  <si>
    <t>Training component</t>
  </si>
  <si>
    <t>Equipment and premises component</t>
  </si>
  <si>
    <t>Insurance (travel and equipment)</t>
  </si>
  <si>
    <t>GRAND TOTAL</t>
  </si>
  <si>
    <t>APPENDIX 2 - RECONCILIATION BETWEEN GEF BUDGET AND CO-FINANCE BUDGET (TOTAL GEF &amp; CO-FINANCE US$)</t>
  </si>
  <si>
    <t>Project title:</t>
  </si>
  <si>
    <t>Project number:</t>
  </si>
  <si>
    <t>From:</t>
  </si>
  <si>
    <t>GEF Cash</t>
  </si>
  <si>
    <t>To:</t>
  </si>
  <si>
    <t>Cash</t>
  </si>
  <si>
    <t>In-kind</t>
  </si>
  <si>
    <t>A</t>
  </si>
  <si>
    <t>B</t>
  </si>
  <si>
    <t>C</t>
  </si>
  <si>
    <t>D</t>
  </si>
  <si>
    <t>E</t>
  </si>
  <si>
    <t>F</t>
  </si>
  <si>
    <t>G</t>
  </si>
  <si>
    <t>H</t>
  </si>
  <si>
    <t>L</t>
  </si>
  <si>
    <t>M</t>
  </si>
  <si>
    <t>N</t>
  </si>
  <si>
    <t>O</t>
  </si>
  <si>
    <t>P</t>
  </si>
  <si>
    <t>Q</t>
  </si>
  <si>
    <t xml:space="preserve">Project executing partner: </t>
  </si>
  <si>
    <t xml:space="preserve">Project implementation period: </t>
  </si>
  <si>
    <t>1:
Building the Enabling Environment</t>
  </si>
  <si>
    <t>2:
Large scale demonstartion of RIMBA, green economy for forest, land, water and carbon conservation</t>
  </si>
  <si>
    <t>3:
Ensuring institutional sustainability and replication</t>
  </si>
  <si>
    <t>Year 5</t>
  </si>
  <si>
    <t>Strengthening forest and ecosystem connectivity in RIMBA landscape of central Sumatera through investing in natural capital, biodiversity conservation, and land based emission reductions (RIMBA Project)</t>
  </si>
  <si>
    <t>TBA</t>
  </si>
  <si>
    <t>National Government</t>
  </si>
  <si>
    <t>Local Government</t>
  </si>
  <si>
    <t>WWF</t>
  </si>
  <si>
    <t>Tropical Forest Conservation Alliance-TFCA</t>
  </si>
  <si>
    <t>UNEP</t>
  </si>
  <si>
    <t>CSO</t>
  </si>
  <si>
    <t>Foundation</t>
  </si>
  <si>
    <t>GEF Agency</t>
  </si>
  <si>
    <t>CSO &amp; Foundation</t>
  </si>
  <si>
    <t>I</t>
  </si>
  <si>
    <t>R</t>
  </si>
  <si>
    <t>S</t>
  </si>
  <si>
    <t>T</t>
  </si>
  <si>
    <t>U</t>
  </si>
  <si>
    <t>V</t>
  </si>
  <si>
    <t>W</t>
  </si>
  <si>
    <t>X</t>
  </si>
  <si>
    <t>Y</t>
  </si>
  <si>
    <t>AB</t>
  </si>
  <si>
    <t>AC</t>
  </si>
  <si>
    <t>A+B+D+F+H…</t>
  </si>
  <si>
    <t>C+E+G+I…</t>
  </si>
  <si>
    <t>72 Months</t>
  </si>
  <si>
    <t>Year 6</t>
  </si>
  <si>
    <t>Senior admin Officer &amp; Secretary</t>
  </si>
  <si>
    <t>NSC meetings (JKT and RIMBA sites)</t>
  </si>
  <si>
    <t>Rent Car for 4x PIU (90%) &amp; national PMU (10%)</t>
  </si>
  <si>
    <t>No</t>
  </si>
  <si>
    <t>Sumarry</t>
  </si>
  <si>
    <t>Source</t>
  </si>
  <si>
    <t>Budget</t>
  </si>
  <si>
    <t>Outcome 1.1</t>
  </si>
  <si>
    <t>Outcome 2.1</t>
  </si>
  <si>
    <t>Outcome 3.1</t>
  </si>
  <si>
    <t>Outcome 3.2</t>
  </si>
  <si>
    <t>Proj management</t>
  </si>
  <si>
    <t>Min of Agraria and Spatial Planning</t>
  </si>
  <si>
    <t>Min of Public Works</t>
  </si>
  <si>
    <t>Ministry of Environment and Forestry</t>
  </si>
  <si>
    <t>Coordination Ministry of Economic Affairs</t>
  </si>
  <si>
    <t>BAPEDDA Jambi Province</t>
  </si>
  <si>
    <t>BAPEDDA Riau Province</t>
  </si>
  <si>
    <t>BAPEDDA Sumatera Barat Province</t>
  </si>
  <si>
    <t>Tropical Forest Conservation Alliance (TFCA)</t>
  </si>
  <si>
    <t>MCC - Green Prosperity Project – Sumatra program</t>
  </si>
  <si>
    <t>UNORCID</t>
  </si>
  <si>
    <t>WORLD BANK</t>
  </si>
  <si>
    <t>Asia Pulp Paper</t>
  </si>
  <si>
    <t>Erna</t>
  </si>
  <si>
    <t>In Kind</t>
  </si>
  <si>
    <t>AD</t>
  </si>
  <si>
    <t>AF</t>
  </si>
  <si>
    <t>WWF - MCAI Green Prosperity Project</t>
  </si>
  <si>
    <t>ACIAR - University of Adelaide</t>
  </si>
  <si>
    <t>AG</t>
  </si>
  <si>
    <t>AE</t>
  </si>
  <si>
    <t>Project Management Costs (PMC)</t>
  </si>
  <si>
    <t>GoI Multi-agency Liason Officer  (50% GEF -50% MCAI), 50% part-time</t>
  </si>
  <si>
    <t>PIU admin staff - 3x</t>
  </si>
  <si>
    <t>PIU admin staff - 1 MCAIx</t>
  </si>
  <si>
    <t>PIU Office Manager &amp; Finance - 3x</t>
  </si>
  <si>
    <t>PIU field technical support staff &amp; driver - 3x2</t>
  </si>
  <si>
    <t>PIU Office Manager &amp; Finance - 1x MCAI</t>
  </si>
  <si>
    <t>PIU field technical support staff &amp; driver - 1x2 MCAI</t>
  </si>
  <si>
    <t>Int.: GE - Social Marketing Communication &amp; Capacity Building -24pm</t>
  </si>
  <si>
    <t>Dom. : Forest &amp; Peatland restoration, 12pm</t>
  </si>
  <si>
    <t>Int. Landscape NRM &amp; GE spec. / Team leader (58.2 pm)</t>
  </si>
  <si>
    <t>Int. FMU Forest Govenance and Business Development spec. 26pm</t>
  </si>
  <si>
    <t>Int. M&amp;E and Gender specialist, 13pm</t>
  </si>
  <si>
    <t>Dom.:  Integrating SPC in project design, operations and deliverables, 12pm</t>
  </si>
  <si>
    <t>Int.: Peat Hydrologist - 4pm</t>
  </si>
  <si>
    <t>Int. Resource Economist &amp; Trainer - 5 pm</t>
  </si>
  <si>
    <t>Domestic travel</t>
  </si>
  <si>
    <t>International</t>
  </si>
  <si>
    <t>Mid-Term and Terminal Evaluations</t>
  </si>
  <si>
    <t>Rent Car for 1x PIU CAI funded</t>
  </si>
  <si>
    <t>Office Running Cost 3xPIU &amp;1xPMU (internet, power, office supply,… )</t>
  </si>
  <si>
    <t>Office Running Cost 1xPIU MCAI funded</t>
  </si>
  <si>
    <t>PMU Office space co-funded CMEA</t>
  </si>
  <si>
    <t>PIU office space 3x, co-funded Provincial Governments</t>
  </si>
  <si>
    <t>PIU office space 1x, co-funded MCAI</t>
  </si>
  <si>
    <t>Annual auditing costs</t>
  </si>
  <si>
    <r>
      <t>Specified -</t>
    </r>
    <r>
      <rPr>
        <b/>
        <sz val="11"/>
        <color rgb="FFFF0000"/>
        <rFont val="Calibri"/>
        <family val="2"/>
        <scheme val="minor"/>
      </rPr>
      <t xml:space="preserve"> see procurement appendix</t>
    </r>
  </si>
  <si>
    <t>Training workshops GE, SPC etc</t>
  </si>
  <si>
    <t>Inception meeting</t>
  </si>
  <si>
    <t>Technical workshops  RIMBA corridor</t>
  </si>
  <si>
    <t>Office supplies</t>
  </si>
  <si>
    <t>Expendibles:</t>
  </si>
  <si>
    <t>Non-expendable equipment :</t>
  </si>
  <si>
    <t>Information systems hard/software</t>
  </si>
  <si>
    <t>Technical publications; Guidebooks, Manuals</t>
  </si>
  <si>
    <t>Construction and running of RIMBA website</t>
  </si>
  <si>
    <t>Hospitality and government liaison</t>
  </si>
  <si>
    <t>Monitoring and Evaluation :</t>
  </si>
  <si>
    <t xml:space="preserve">Output 1.1.1 - establishment and running RIMBA Management Authority and development &amp; agreed “RIMBA Roadmap” </t>
  </si>
  <si>
    <t>Peat hydrology &amp; re-wetting feasibility design Cluster 2</t>
  </si>
  <si>
    <t>Reforestation feasibiity design, IAS management &amp; Control, Habitat restoration</t>
  </si>
  <si>
    <t>Translation of documents &amp; meetings</t>
  </si>
  <si>
    <t>Output 1.1.4 - RIMBA GE scenario analysis; software platform; workshops, high level concensus and adoption meetings</t>
  </si>
  <si>
    <t>Output 1.2.1 - revision of boundaries RIMBA; consultation meetings, drafing and declaration of RIMBA National Strategic Area</t>
  </si>
  <si>
    <t>Output 1.2.2 - academic and legal papers towards establishment and ToR RIMBA Management Authority; consultation/endorsement meetings; negotiations and input to APBD/N for operational costs</t>
  </si>
  <si>
    <t>Output 1.2.3 Design of operational modalities Small Grant Mechanism; establishment and operation costs for review committee; most grant funding under Comp 2 by co-funders</t>
  </si>
  <si>
    <t>Annual meetings w national &amp; local GoI on program and budgeting alignment</t>
  </si>
  <si>
    <t>GE, SPC, Scenario analysis and other Training &amp; Capacity Building contracts</t>
  </si>
  <si>
    <t>Equipment (Computer and Office Equipment):</t>
  </si>
  <si>
    <t>Communcations and Awareness materials</t>
  </si>
  <si>
    <t>Communications (Project Coordinator) with all project partners (telephone, fax)</t>
  </si>
  <si>
    <t>Output 2.1.2 Running PLUP process, Partnership building, and conflict management towards SFM practises and busines plans in the two KPHs Cluster 1.</t>
  </si>
  <si>
    <t>Output 2.1.1 Support to establishment two KPH Cluster 1 in cludign agreement on SFM, BD and forest investment targets and budgetting (one production &amp; one Protection forests); development of Forest Management and Business Plans</t>
  </si>
  <si>
    <t>Involuntary Resettlement Planning &amp; Feasibility Assessment Cluster 1</t>
  </si>
  <si>
    <t>Output 2.1.4 Support to PU, MoEF and PEMDA on ec-road design and infrastructure works benefitting wildlife &amp; reforestation for habitat connectivity (see also BL 2207)</t>
  </si>
  <si>
    <t>Output 2.1.3  Support to PEMDA and Min of Villages to the re-settelement, conflict managememt, landswaps and creation of green alternative employment</t>
  </si>
  <si>
    <t>Output 2.2.1 - Support to establishment two KPH Cluster 2 including agreement on  GHG emissions reduction targets through prevention of fires, peatland rewetting and the optimization of land allocations through revised spatial planning and SCP approaches supporting the provision of green jobs; and development of Forest Management and Business Plans</t>
  </si>
  <si>
    <t>Output 2.2.3 - Fire prevention through social marketing, industry extension and enforcement activities, establishing a early warning system on fire risks, improved firefighting capacity of communities, and financial incentives for emission reduction throug e.g. the BioCarbon fund (see also BL 2201)</t>
  </si>
  <si>
    <t>Output 2.2.2 - Running PLUP process to map resources &amp; utilisation and to resolve stakeholder conflicts, to inform detailed hydrological analysis, to agree ways to enhance ironmental and eneconomic sustainability of companies and small-holder community enterprises in partnership with e.g BioCarbon fund, and to establish a multi-stakeholder community based forum to facilitate SFM</t>
  </si>
  <si>
    <t>Output 2.2.4 Support to KPHs; facilitation of full peatdome hydrology study (see BL 2204) and technical design of the canal blocking and re-wetting master investment plan; pilot demonstration of compacted-peat dams; development of the Carbon MRV for the targeted peatdome; facilitation of annual APBD/N investments in peat restoration, monitoring of quality and maintenance</t>
  </si>
  <si>
    <t>Design of PWS Cluster 3: legal, govenance, benefit sharing, forest targets and monitoring</t>
  </si>
  <si>
    <t>Sustainable farming, agroforestry and SFM program Cluster 3 through increased productivity, enhanced marker access and small business support (VECO, WARSI etc)</t>
  </si>
  <si>
    <t>Video and film productions RIMBA GE</t>
  </si>
  <si>
    <t xml:space="preserve">Output 2.3.1 - Support to establishment of two KPH in Cluster 3 including development of Forest Management and Business Plans, with agreed targets and investments in forest zonation &amp; restoration, PWS scheme, linkages between electrification/welfare support and forest management by communities, and market support to smallholder agroforest enterprise (also BL 2208); </t>
  </si>
  <si>
    <t>in GEF grant</t>
  </si>
  <si>
    <t xml:space="preserve">Output 2.3.2 -Running PLUP process to map resources; optimise forest use and protection, partnership building and conflict management, support economic sustainability of small-holder forest enterprises in partnership with e.g VECO, and explore optimum way to establish micro-hydro- and PWS schemes that support welfare and alternative “green”livelihood options leading to improved watershed, forest and BD conservation functions  </t>
  </si>
  <si>
    <t>Output 2.3.3 - coordination and support to KPHP, PEMDA and TNKS in Sub-watershed 1 to establish, maintain and monitor micro-hydro (investment by MCAI), conduct reforestion and support improving agro-forest smallholder practises; facilitate stakeholder agreements on conditionalities regarding SFM and reforestation targets (also input BL 1209)</t>
  </si>
  <si>
    <t>Output 2.3.4 - Water Services Payment scheme i Sub-catchment 1, as part of the Business Planning for FMU 5 (PWS), has been established within the Merangin Government, providing incentives and conditionalities for sustainable forest management and improved agicultural practices</t>
  </si>
  <si>
    <t>Output 2.3.5 - Support to KPH, local farmer and community groups in Sub-catchment 2, on livelihood focused incentives (green jobs) which improve access to and benefits from markets for timber and non-timber forest products and which improve sustainability of community land practices (ref. BL 2208); agree on and conduct reforestation through co-funding.</t>
  </si>
  <si>
    <t>Output 2.4.1 Facilitative process by RIMBA Management Authority, consultations, training and high level meetings w e.g. local parliaments to motivate and enable local government to adopt natural capital/forest principles, FMU practises and RIMBA GE Roadmap targets in annual APBD budgeting, revision of spatial plans, and revisions of RPJMD; additionally the upscaling of best practises in the KPH program of RIMBA to other KPHs</t>
  </si>
  <si>
    <t>Sub-contract on private sector SPC round tables &amp; guidelines, analysis of mining proposals and their cost-benefits, taking into account economic externalities, facilitation adoption of Natural Capital Protocols and sustainability reporting</t>
  </si>
  <si>
    <t>Output 2.4.2 Collaboration &amp; social marketing with Industrial Forest Plantation and Mining sectors towards SPC/BMP in 30,000 hectares - workshops, agreed SCP sector frameworks to conserve forests, peatlands and connectivity in the landscape, e.g facilitaion of landswaps, agreed restoration plans (see also 2208)</t>
  </si>
  <si>
    <t>Output 2.4.3 Facilitation of CSO institutions of 'green economy - SFM-green jobs' best practices - through training, curriculum support &amp; field schools, communications in partnership with religious institutions; the educational institutions from school to university; the village administrations, and the farmer and grass-root industry and farmer organisations</t>
  </si>
  <si>
    <t>RIMBA M&amp;E field data collection</t>
  </si>
  <si>
    <t>Output 3.1.2 M&amp;E system to track and report project performance and impact (see also 5503)</t>
  </si>
  <si>
    <t>TA for setting up the RIMBA Management Authority GE compliance monitoring facility</t>
  </si>
  <si>
    <t>Output 3.1.1 Consultations, operations, reporting and evaluations by the RIMBA Management Authority on GE compliance monitoring (RIMBA Roadmap)  see 2209</t>
  </si>
  <si>
    <t>Output 3.2.1 Best practices analysed and reported on sustainable use of forests and targeted ecosystem services - water, carbon and biodiversity (see 2210)</t>
  </si>
  <si>
    <t>TA on analysis best practise on GE, SCP &amp; recommendations for replication</t>
  </si>
  <si>
    <t xml:space="preserve">Design and elishment of GE Knowledge Management Information System (KMIS) </t>
  </si>
  <si>
    <t xml:space="preserve">Output 3.2.2 Operation of National GE Knowledge Management Information System (KMIS) </t>
  </si>
  <si>
    <t>Output 3.2.3 RIMBA GE knowledge products, exchange/conferences and publications</t>
  </si>
  <si>
    <t>Project Personnel :</t>
  </si>
  <si>
    <t>Consultants  :</t>
  </si>
  <si>
    <t>Administrative support :</t>
  </si>
  <si>
    <t>Travel on official business :</t>
  </si>
  <si>
    <t>Sub-contracts (LoA/PCAs for cooperating agencies, incl government) :</t>
  </si>
  <si>
    <t>Sub-contracts commercial services :</t>
  </si>
  <si>
    <t>Group training :</t>
  </si>
  <si>
    <t>Meetings/conferences :</t>
  </si>
  <si>
    <t>Premises (rent) :</t>
  </si>
  <si>
    <t>Reporting :</t>
  </si>
  <si>
    <t>Sundry :</t>
  </si>
  <si>
    <t>Hospitality and entertainment :</t>
  </si>
  <si>
    <t xml:space="preserve">Output 1.1.2 - agreement on a gender sensitive communication and outreach plan or RIMBA GE, build broad partnership&amp; support for RIMBA GE Roadmap; run conflict resolution platform. See also BL 2201 </t>
  </si>
  <si>
    <t>Output 1.1.3 - Design, baseline, mid- and end impact surveys (gender disaggregated), of institutional and human capacity building for GE, SPC, scenario analysis etc (see also 3201); develop training modules</t>
  </si>
  <si>
    <t>Social marketing and gender sensitive outreach campain  (highlighting gender &amp; stakeholder roles)- incl. gender disagregated GE social marketing attitudinal baseline, midterm and end- surveys</t>
  </si>
  <si>
    <t>Progress, gender and M&amp;E Reporting</t>
  </si>
  <si>
    <t>Dom.: Others domestic 8pm</t>
  </si>
  <si>
    <t>Dom. : Renewable energy specialist, 6pm</t>
  </si>
  <si>
    <t>Dom.: GE Resource Economist/Scenario analysis/Trainer, 10pm</t>
  </si>
  <si>
    <t>Project Co-TL  (50%GEF  and 50% MCAI) - 72pm</t>
  </si>
  <si>
    <t>3 x NRM specialists /  PIU coordinators - 72pm</t>
  </si>
  <si>
    <t>1 x NRM specialist / PIU coordinator - 100% MCAI - 72pm</t>
  </si>
  <si>
    <t>Finance Manager (50% through cofunding)</t>
  </si>
  <si>
    <t>Grand Total</t>
  </si>
  <si>
    <r>
      <t>Specified -</t>
    </r>
    <r>
      <rPr>
        <sz val="11"/>
        <color rgb="FFFF0000"/>
        <rFont val="Calibri"/>
        <family val="2"/>
        <scheme val="minor"/>
      </rPr>
      <t xml:space="preserve"> see procurement appendix</t>
    </r>
  </si>
  <si>
    <t>Regional Technical Spec./Project Co-TL  (50%GEF  and 50% MCAI) - 72pm</t>
  </si>
  <si>
    <t>Dom. FMU Forest Govenance and Business Development spec. 26pm</t>
  </si>
  <si>
    <t>Institutional Development and Communications spec. - 60pm</t>
  </si>
  <si>
    <t>Ministry of Public Works (Binamarga)</t>
  </si>
  <si>
    <t>Ministry of Public Works (Swamp &amp; Irigation)</t>
  </si>
  <si>
    <t>Ministry of Environment and Forestry (KSDA &amp; PHPL)</t>
  </si>
  <si>
    <t>CMEA (NEA)</t>
  </si>
  <si>
    <t>VECO Indonesia</t>
  </si>
  <si>
    <t>Cash (KSDA)</t>
  </si>
  <si>
    <t>Cash (PHPL)</t>
  </si>
  <si>
    <t>Finance Manager (50% through MCA-I cofunding)</t>
  </si>
  <si>
    <t>Domestic travel / partly MCA-I</t>
  </si>
  <si>
    <t>NSC meetings (JKT and RIMBA sites)- partly MCA-I</t>
  </si>
  <si>
    <t>Rent Car for 4x PIU (90%) &amp; national PMU (10%) -partly co-funded</t>
  </si>
  <si>
    <t>Rent Car for 1x PIU MCAI funded</t>
  </si>
  <si>
    <t>RIMBA M&amp;E field data collection / partly MCA-I, WWF &amp; local government</t>
  </si>
  <si>
    <t>CONTROL USD value:</t>
  </si>
  <si>
    <t>! difference</t>
  </si>
  <si>
    <t>Int. Landscape NRM &amp; GE spec. / Team leader (57 pm)</t>
  </si>
  <si>
    <t>GoI Project Director (30% GEF -70% co-funded); 30-50% part-time</t>
  </si>
  <si>
    <t>Control:</t>
  </si>
  <si>
    <t>GoI Project Director (30% GEF -70% MCA-I co-funded); 30-50% part-time</t>
  </si>
</sst>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6" formatCode="&quot;$&quot;#,##0_);[Red]\(&quot;$&quot;#,##0\)"/>
    <numFmt numFmtId="41" formatCode="_(* #,##0_);_(* \(#,##0\);_(* &quot;-&quot;_);_(@_)"/>
    <numFmt numFmtId="44" formatCode="_(&quot;$&quot;* #,##0.00_);_(&quot;$&quot;* \(#,##0.00\);_(&quot;$&quot;* &quot;-&quot;??_);_(@_)"/>
    <numFmt numFmtId="43" formatCode="_(* #,##0.00_);_(* \(#,##0.00\);_(* &quot;-&quot;??_);_(@_)"/>
    <numFmt numFmtId="164" formatCode="_-* #,##0.00_-;\-* #,##0.00_-;_-* &quot;-&quot;??_-;_-@_-"/>
    <numFmt numFmtId="165" formatCode="&quot;$&quot;#,##0.00"/>
    <numFmt numFmtId="166" formatCode="&quot;$&quot;#,##0"/>
    <numFmt numFmtId="167" formatCode="[$$-409]#,##0"/>
    <numFmt numFmtId="168" formatCode="[$$-409]#,##0.00"/>
    <numFmt numFmtId="169" formatCode="#,##0;[Red]#,##0"/>
  </numFmts>
  <fonts count="31" x14ac:knownFonts="1">
    <font>
      <sz val="11"/>
      <color theme="1"/>
      <name val="Calibri"/>
      <family val="2"/>
      <scheme val="minor"/>
    </font>
    <font>
      <sz val="11"/>
      <color theme="1"/>
      <name val="Calibri"/>
      <family val="2"/>
      <scheme val="minor"/>
    </font>
    <font>
      <b/>
      <sz val="11"/>
      <color indexed="8"/>
      <name val="Calibri"/>
      <family val="2"/>
    </font>
    <font>
      <sz val="11"/>
      <name val="Calibri"/>
      <family val="2"/>
      <scheme val="minor"/>
    </font>
    <font>
      <sz val="11"/>
      <color indexed="8"/>
      <name val="Calibri"/>
      <family val="2"/>
    </font>
    <font>
      <sz val="10"/>
      <name val="Arial"/>
      <family val="2"/>
    </font>
    <font>
      <b/>
      <sz val="11"/>
      <name val="Arial"/>
      <family val="2"/>
    </font>
    <font>
      <sz val="10"/>
      <color indexed="12"/>
      <name val="Arial"/>
      <family val="2"/>
    </font>
    <font>
      <b/>
      <sz val="10"/>
      <name val="Arial"/>
      <family val="2"/>
    </font>
    <font>
      <sz val="9"/>
      <name val="Arial"/>
      <family val="2"/>
    </font>
    <font>
      <sz val="9"/>
      <color theme="1"/>
      <name val="Calibri"/>
      <family val="2"/>
      <scheme val="minor"/>
    </font>
    <font>
      <b/>
      <sz val="11"/>
      <color theme="1"/>
      <name val="Calibri"/>
      <family val="2"/>
      <scheme val="minor"/>
    </font>
    <font>
      <sz val="10"/>
      <color theme="1"/>
      <name val="Arial"/>
      <family val="2"/>
    </font>
    <font>
      <sz val="12"/>
      <name val="Arial"/>
      <family val="2"/>
    </font>
    <font>
      <sz val="12"/>
      <color theme="1"/>
      <name val="Calibri"/>
      <family val="2"/>
      <scheme val="minor"/>
    </font>
    <font>
      <sz val="12"/>
      <color indexed="12"/>
      <name val="Arial"/>
      <family val="2"/>
    </font>
    <font>
      <sz val="12"/>
      <color indexed="8"/>
      <name val="Calibri"/>
      <family val="2"/>
    </font>
    <font>
      <sz val="9"/>
      <color indexed="81"/>
      <name val="Tahoma"/>
      <family val="2"/>
    </font>
    <font>
      <b/>
      <sz val="9"/>
      <color indexed="81"/>
      <name val="Tahoma"/>
      <family val="2"/>
    </font>
    <font>
      <sz val="10"/>
      <color theme="1"/>
      <name val="Times New Roman"/>
      <family val="1"/>
    </font>
    <font>
      <sz val="8"/>
      <color theme="1"/>
      <name val="Times New Roman"/>
      <family val="1"/>
    </font>
    <font>
      <sz val="9"/>
      <color rgb="FF000000"/>
      <name val="Times New Roman"/>
      <family val="1"/>
    </font>
    <font>
      <sz val="11"/>
      <color rgb="FFFF0000"/>
      <name val="Calibri"/>
      <family val="2"/>
      <scheme val="minor"/>
    </font>
    <font>
      <sz val="12"/>
      <color rgb="FFFF0000"/>
      <name val="Calibri"/>
      <family val="2"/>
    </font>
    <font>
      <b/>
      <sz val="11"/>
      <color rgb="FFFF0000"/>
      <name val="Calibri"/>
      <family val="2"/>
      <scheme val="minor"/>
    </font>
    <font>
      <b/>
      <i/>
      <sz val="11"/>
      <color indexed="8"/>
      <name val="Calibri"/>
      <family val="2"/>
    </font>
    <font>
      <sz val="10"/>
      <color theme="1"/>
      <name val="Calibri"/>
      <family val="2"/>
      <scheme val="minor"/>
    </font>
    <font>
      <i/>
      <sz val="11"/>
      <color indexed="8"/>
      <name val="Calibri"/>
      <family val="2"/>
    </font>
    <font>
      <b/>
      <sz val="11"/>
      <color indexed="81"/>
      <name val="Tahoma"/>
      <family val="2"/>
    </font>
    <font>
      <sz val="11"/>
      <color rgb="FF0070C0"/>
      <name val="Calibri"/>
      <family val="2"/>
      <scheme val="minor"/>
    </font>
    <font>
      <sz val="14"/>
      <name val="Arial"/>
      <family val="2"/>
    </font>
  </fonts>
  <fills count="14">
    <fill>
      <patternFill patternType="none"/>
    </fill>
    <fill>
      <patternFill patternType="gray125"/>
    </fill>
    <fill>
      <patternFill patternType="solid">
        <fgColor indexed="22"/>
        <bgColor indexed="64"/>
      </patternFill>
    </fill>
    <fill>
      <patternFill patternType="solid">
        <fgColor indexed="51"/>
        <bgColor indexed="64"/>
      </patternFill>
    </fill>
    <fill>
      <patternFill patternType="solid">
        <fgColor theme="0"/>
        <bgColor indexed="64"/>
      </patternFill>
    </fill>
    <fill>
      <patternFill patternType="solid">
        <fgColor theme="4" tint="0.79998168889431442"/>
        <bgColor indexed="64"/>
      </patternFill>
    </fill>
    <fill>
      <patternFill patternType="solid">
        <fgColor theme="6" tint="0.59999389629810485"/>
        <bgColor indexed="64"/>
      </patternFill>
    </fill>
    <fill>
      <patternFill patternType="solid">
        <fgColor rgb="FFFFFF00"/>
        <bgColor indexed="64"/>
      </patternFill>
    </fill>
    <fill>
      <patternFill patternType="solid">
        <fgColor theme="9" tint="0.59999389629810485"/>
        <bgColor indexed="64"/>
      </patternFill>
    </fill>
    <fill>
      <patternFill patternType="solid">
        <fgColor theme="0" tint="-0.249977111117893"/>
        <bgColor indexed="64"/>
      </patternFill>
    </fill>
    <fill>
      <patternFill patternType="solid">
        <fgColor rgb="FFFFC000"/>
        <bgColor indexed="64"/>
      </patternFill>
    </fill>
    <fill>
      <patternFill patternType="solid">
        <fgColor rgb="FF92D050"/>
        <bgColor indexed="64"/>
      </patternFill>
    </fill>
    <fill>
      <patternFill patternType="solid">
        <fgColor rgb="FFFF0000"/>
        <bgColor indexed="64"/>
      </patternFill>
    </fill>
    <fill>
      <patternFill patternType="solid">
        <fgColor rgb="FF00B0F0"/>
        <bgColor indexed="64"/>
      </patternFill>
    </fill>
  </fills>
  <borders count="32">
    <border>
      <left/>
      <right/>
      <top/>
      <bottom/>
      <diagonal/>
    </border>
    <border>
      <left style="thin">
        <color auto="1"/>
      </left>
      <right/>
      <top style="thin">
        <color auto="1"/>
      </top>
      <bottom style="thin">
        <color auto="1"/>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top style="medium">
        <color indexed="64"/>
      </top>
      <bottom style="thin">
        <color indexed="64"/>
      </bottom>
      <diagonal/>
    </border>
    <border>
      <left/>
      <right style="thin">
        <color indexed="64"/>
      </right>
      <top style="medium">
        <color indexed="64"/>
      </top>
      <bottom style="thin">
        <color indexed="64"/>
      </bottom>
      <diagonal/>
    </border>
    <border>
      <left style="thin">
        <color auto="1"/>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hair">
        <color auto="1"/>
      </left>
      <right style="hair">
        <color auto="1"/>
      </right>
      <top style="hair">
        <color auto="1"/>
      </top>
      <bottom style="hair">
        <color auto="1"/>
      </bottom>
      <diagonal/>
    </border>
  </borders>
  <cellStyleXfs count="12">
    <xf numFmtId="0" fontId="0" fillId="0" borderId="0"/>
    <xf numFmtId="44" fontId="4"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44" fontId="1" fillId="0" borderId="0" applyFont="0" applyFill="0" applyBorder="0" applyAlignment="0" applyProtection="0"/>
    <xf numFmtId="0" fontId="5" fillId="0" borderId="0"/>
    <xf numFmtId="0" fontId="5" fillId="0" borderId="0"/>
    <xf numFmtId="0" fontId="5" fillId="0" borderId="0"/>
    <xf numFmtId="43" fontId="1" fillId="0" borderId="0" applyFont="0" applyFill="0" applyBorder="0" applyAlignment="0" applyProtection="0"/>
    <xf numFmtId="9" fontId="1" fillId="0" borderId="0" applyFont="0" applyFill="0" applyBorder="0" applyAlignment="0" applyProtection="0"/>
    <xf numFmtId="41" fontId="1" fillId="0" borderId="0" applyFont="0" applyFill="0" applyBorder="0" applyAlignment="0" applyProtection="0"/>
  </cellStyleXfs>
  <cellXfs count="324">
    <xf numFmtId="0" fontId="0" fillId="0" borderId="0" xfId="0"/>
    <xf numFmtId="0" fontId="0" fillId="0" borderId="0" xfId="0" applyFont="1" applyAlignment="1">
      <alignment vertical="top" wrapText="1"/>
    </xf>
    <xf numFmtId="0" fontId="0" fillId="0" borderId="0" xfId="0" applyAlignment="1">
      <alignment vertical="top" wrapText="1"/>
    </xf>
    <xf numFmtId="0" fontId="0" fillId="0" borderId="4" xfId="0" applyFont="1" applyBorder="1" applyAlignment="1">
      <alignment vertical="top" wrapText="1"/>
    </xf>
    <xf numFmtId="0" fontId="0" fillId="0" borderId="4" xfId="0" applyBorder="1" applyAlignment="1">
      <alignment vertical="top" wrapText="1"/>
    </xf>
    <xf numFmtId="165" fontId="0" fillId="0" borderId="4" xfId="0" applyNumberFormat="1" applyBorder="1" applyAlignment="1">
      <alignment vertical="top" wrapText="1"/>
    </xf>
    <xf numFmtId="0" fontId="0" fillId="0" borderId="0" xfId="0" applyFill="1" applyAlignment="1">
      <alignment vertical="top" wrapText="1"/>
    </xf>
    <xf numFmtId="165" fontId="0" fillId="0" borderId="4" xfId="0" applyNumberFormat="1" applyFont="1" applyBorder="1" applyAlignment="1">
      <alignment vertical="top" wrapText="1"/>
    </xf>
    <xf numFmtId="165" fontId="0" fillId="0" borderId="4" xfId="1" applyNumberFormat="1" applyFont="1" applyBorder="1" applyAlignment="1">
      <alignment vertical="top" wrapText="1"/>
    </xf>
    <xf numFmtId="165" fontId="0" fillId="0" borderId="4" xfId="1" applyNumberFormat="1" applyFont="1" applyFill="1" applyBorder="1" applyAlignment="1">
      <alignment vertical="top" wrapText="1"/>
    </xf>
    <xf numFmtId="0" fontId="0" fillId="0" borderId="4" xfId="0" applyFill="1" applyBorder="1" applyAlignment="1">
      <alignment vertical="top" wrapText="1"/>
    </xf>
    <xf numFmtId="0" fontId="4" fillId="2" borderId="4" xfId="0" applyFont="1" applyFill="1" applyBorder="1" applyAlignment="1">
      <alignment vertical="top" wrapText="1"/>
    </xf>
    <xf numFmtId="0" fontId="4" fillId="0" borderId="4" xfId="0" applyFont="1" applyFill="1" applyBorder="1" applyAlignment="1">
      <alignment vertical="top" wrapText="1"/>
    </xf>
    <xf numFmtId="0" fontId="4" fillId="3" borderId="4" xfId="0" applyFont="1" applyFill="1" applyBorder="1" applyAlignment="1">
      <alignment vertical="top" wrapText="1"/>
    </xf>
    <xf numFmtId="0" fontId="5" fillId="0" borderId="0" xfId="7"/>
    <xf numFmtId="0" fontId="5" fillId="0" borderId="0" xfId="7" applyFill="1" applyBorder="1" applyAlignment="1">
      <alignment vertical="top"/>
    </xf>
    <xf numFmtId="0" fontId="0" fillId="0" borderId="0" xfId="0" applyBorder="1" applyAlignment="1">
      <alignment vertical="top" wrapText="1"/>
    </xf>
    <xf numFmtId="0" fontId="5" fillId="0" borderId="4" xfId="7" applyFill="1" applyBorder="1" applyAlignment="1">
      <alignment vertical="top"/>
    </xf>
    <xf numFmtId="0" fontId="5" fillId="0" borderId="4" xfId="7" applyBorder="1" applyAlignment="1">
      <alignment horizontal="center"/>
    </xf>
    <xf numFmtId="0" fontId="8" fillId="0" borderId="4" xfId="7" applyFont="1" applyFill="1" applyBorder="1" applyAlignment="1"/>
    <xf numFmtId="0" fontId="9" fillId="5" borderId="4" xfId="7" applyFont="1" applyFill="1" applyBorder="1" applyAlignment="1">
      <alignment horizontal="center" vertical="top" wrapText="1"/>
    </xf>
    <xf numFmtId="0" fontId="5" fillId="4" borderId="4" xfId="7" applyFill="1" applyBorder="1" applyAlignment="1">
      <alignment horizontal="center" vertical="top" wrapText="1"/>
    </xf>
    <xf numFmtId="0" fontId="9" fillId="4" borderId="4" xfId="7" applyFont="1" applyFill="1" applyBorder="1" applyAlignment="1">
      <alignment horizontal="center" vertical="top" wrapText="1"/>
    </xf>
    <xf numFmtId="0" fontId="5" fillId="5" borderId="4" xfId="7" applyFill="1" applyBorder="1" applyAlignment="1">
      <alignment horizontal="center" vertical="top" wrapText="1"/>
    </xf>
    <xf numFmtId="44" fontId="0" fillId="0" borderId="4" xfId="1" applyNumberFormat="1" applyFont="1" applyFill="1" applyBorder="1" applyAlignment="1">
      <alignment vertical="top" wrapText="1"/>
    </xf>
    <xf numFmtId="44" fontId="0" fillId="4" borderId="4" xfId="1" applyNumberFormat="1" applyFont="1" applyFill="1" applyBorder="1" applyAlignment="1">
      <alignment vertical="top" wrapText="1"/>
    </xf>
    <xf numFmtId="44" fontId="0" fillId="0" borderId="4" xfId="0" applyNumberFormat="1" applyFont="1" applyBorder="1" applyAlignment="1">
      <alignment vertical="top" wrapText="1"/>
    </xf>
    <xf numFmtId="44" fontId="0" fillId="0" borderId="4" xfId="1" applyNumberFormat="1" applyFont="1" applyBorder="1" applyAlignment="1">
      <alignment vertical="top" wrapText="1"/>
    </xf>
    <xf numFmtId="44" fontId="0" fillId="4" borderId="4" xfId="9" applyNumberFormat="1" applyFont="1" applyFill="1" applyBorder="1" applyAlignment="1">
      <alignment horizontal="center" vertical="center" wrapText="1"/>
    </xf>
    <xf numFmtId="44" fontId="0" fillId="0" borderId="4" xfId="9" applyNumberFormat="1" applyFont="1" applyBorder="1" applyAlignment="1">
      <alignment vertical="top" wrapText="1"/>
    </xf>
    <xf numFmtId="44" fontId="0" fillId="0" borderId="0" xfId="0" applyNumberFormat="1" applyAlignment="1">
      <alignment vertical="top" wrapText="1"/>
    </xf>
    <xf numFmtId="0" fontId="5" fillId="0" borderId="0" xfId="7" applyFont="1" applyFill="1" applyBorder="1" applyAlignment="1">
      <alignment horizontal="center" vertical="top"/>
    </xf>
    <xf numFmtId="0" fontId="5" fillId="0" borderId="0" xfId="7" applyFill="1" applyBorder="1" applyAlignment="1">
      <alignment horizontal="center" vertical="top"/>
    </xf>
    <xf numFmtId="0" fontId="0" fillId="0" borderId="0" xfId="0" applyAlignment="1">
      <alignment horizontal="center" vertical="top" wrapText="1"/>
    </xf>
    <xf numFmtId="165" fontId="0" fillId="0" borderId="0" xfId="0" applyNumberFormat="1" applyAlignment="1">
      <alignment vertical="top" wrapText="1"/>
    </xf>
    <xf numFmtId="166" fontId="0" fillId="0" borderId="0" xfId="0" applyNumberFormat="1" applyAlignment="1">
      <alignment vertical="top" wrapText="1"/>
    </xf>
    <xf numFmtId="0" fontId="12" fillId="4" borderId="4" xfId="7" applyFont="1" applyFill="1" applyBorder="1" applyAlignment="1">
      <alignment horizontal="center" vertical="top" wrapText="1"/>
    </xf>
    <xf numFmtId="0" fontId="2" fillId="6" borderId="4" xfId="0" applyFont="1" applyFill="1" applyBorder="1" applyAlignment="1">
      <alignment vertical="top" wrapText="1"/>
    </xf>
    <xf numFmtId="0" fontId="14" fillId="0" borderId="0" xfId="0" applyFont="1" applyAlignment="1">
      <alignment vertical="top" wrapText="1"/>
    </xf>
    <xf numFmtId="0" fontId="13" fillId="0" borderId="0" xfId="7" applyFont="1" applyFill="1" applyBorder="1" applyAlignment="1">
      <alignment horizontal="left" vertical="top"/>
    </xf>
    <xf numFmtId="0" fontId="16" fillId="0" borderId="4" xfId="0" applyFont="1" applyBorder="1" applyAlignment="1">
      <alignment vertical="top" wrapText="1"/>
    </xf>
    <xf numFmtId="0" fontId="13" fillId="0" borderId="0" xfId="7" applyFont="1" applyFill="1" applyBorder="1" applyAlignment="1">
      <alignment horizontal="left" vertical="top"/>
    </xf>
    <xf numFmtId="0" fontId="14" fillId="0" borderId="0" xfId="0" applyFont="1" applyBorder="1" applyAlignment="1">
      <alignment horizontal="left" vertical="top" wrapText="1"/>
    </xf>
    <xf numFmtId="43" fontId="0" fillId="0" borderId="0" xfId="9" applyFont="1" applyAlignment="1">
      <alignment vertical="top" wrapText="1"/>
    </xf>
    <xf numFmtId="43" fontId="0" fillId="0" borderId="0" xfId="0" applyNumberFormat="1" applyAlignment="1">
      <alignment vertical="top" wrapText="1"/>
    </xf>
    <xf numFmtId="0" fontId="0" fillId="0" borderId="4" xfId="0" applyBorder="1"/>
    <xf numFmtId="0" fontId="0" fillId="0" borderId="7" xfId="0" applyBorder="1"/>
    <xf numFmtId="0" fontId="0" fillId="0" borderId="1" xfId="0" applyBorder="1"/>
    <xf numFmtId="0" fontId="0" fillId="0" borderId="0" xfId="0" applyBorder="1"/>
    <xf numFmtId="0" fontId="11" fillId="0" borderId="7" xfId="0" applyFont="1" applyBorder="1"/>
    <xf numFmtId="0" fontId="11" fillId="0" borderId="10" xfId="0" applyFont="1" applyBorder="1" applyAlignment="1">
      <alignment horizontal="center"/>
    </xf>
    <xf numFmtId="0" fontId="11" fillId="0" borderId="10" xfId="0" applyFont="1" applyBorder="1" applyAlignment="1">
      <alignment horizontal="center" vertical="top" wrapText="1"/>
    </xf>
    <xf numFmtId="0" fontId="0" fillId="0" borderId="10" xfId="0" applyBorder="1"/>
    <xf numFmtId="0" fontId="11" fillId="0" borderId="11" xfId="0" applyFont="1" applyBorder="1" applyAlignment="1">
      <alignment horizontal="center" vertical="top" wrapText="1"/>
    </xf>
    <xf numFmtId="3" fontId="19" fillId="0" borderId="12" xfId="0" applyNumberFormat="1" applyFont="1" applyBorder="1" applyAlignment="1">
      <alignment horizontal="center" vertical="top" wrapText="1"/>
    </xf>
    <xf numFmtId="0" fontId="19" fillId="0" borderId="6" xfId="0" applyFont="1" applyBorder="1" applyAlignment="1">
      <alignment vertical="center" wrapText="1"/>
    </xf>
    <xf numFmtId="3" fontId="19" fillId="0" borderId="6" xfId="0" applyNumberFormat="1" applyFont="1" applyBorder="1" applyAlignment="1">
      <alignment horizontal="right" vertical="center" wrapText="1"/>
    </xf>
    <xf numFmtId="43" fontId="19" fillId="0" borderId="6" xfId="9" applyFont="1" applyBorder="1" applyAlignment="1">
      <alignment horizontal="right" vertical="center" wrapText="1"/>
    </xf>
    <xf numFmtId="43" fontId="0" fillId="0" borderId="6" xfId="9" applyFont="1" applyBorder="1"/>
    <xf numFmtId="43" fontId="0" fillId="0" borderId="13" xfId="9" applyFont="1" applyBorder="1"/>
    <xf numFmtId="3" fontId="19" fillId="0" borderId="14" xfId="0" applyNumberFormat="1" applyFont="1" applyBorder="1" applyAlignment="1">
      <alignment horizontal="center" vertical="top" wrapText="1"/>
    </xf>
    <xf numFmtId="0" fontId="19" fillId="0" borderId="4" xfId="0" applyFont="1" applyBorder="1" applyAlignment="1">
      <alignment vertical="center" wrapText="1"/>
    </xf>
    <xf numFmtId="3" fontId="19" fillId="0" borderId="4" xfId="0" applyNumberFormat="1" applyFont="1" applyBorder="1" applyAlignment="1">
      <alignment horizontal="right" vertical="center" wrapText="1"/>
    </xf>
    <xf numFmtId="43" fontId="19" fillId="0" borderId="4" xfId="9" applyFont="1" applyBorder="1" applyAlignment="1">
      <alignment horizontal="right" vertical="center" wrapText="1"/>
    </xf>
    <xf numFmtId="43" fontId="0" fillId="0" borderId="4" xfId="9" applyFont="1" applyBorder="1"/>
    <xf numFmtId="0" fontId="19" fillId="8" borderId="4" xfId="0" applyFont="1" applyFill="1" applyBorder="1" applyAlignment="1">
      <alignment vertical="center" wrapText="1"/>
    </xf>
    <xf numFmtId="3" fontId="19" fillId="0" borderId="0" xfId="0" applyNumberFormat="1" applyFont="1" applyBorder="1" applyAlignment="1">
      <alignment horizontal="left" vertical="top" wrapText="1"/>
    </xf>
    <xf numFmtId="0" fontId="0" fillId="0" borderId="0" xfId="0" applyBorder="1" applyAlignment="1">
      <alignment horizontal="left"/>
    </xf>
    <xf numFmtId="43" fontId="0" fillId="0" borderId="0" xfId="0" applyNumberFormat="1" applyBorder="1"/>
    <xf numFmtId="0" fontId="20" fillId="0" borderId="0" xfId="0" applyFont="1" applyBorder="1"/>
    <xf numFmtId="0" fontId="0" fillId="0" borderId="15" xfId="0" applyBorder="1"/>
    <xf numFmtId="0" fontId="19" fillId="0" borderId="16" xfId="0" applyFont="1" applyFill="1" applyBorder="1" applyAlignment="1">
      <alignment vertical="center" wrapText="1"/>
    </xf>
    <xf numFmtId="3" fontId="0" fillId="0" borderId="16" xfId="0" applyNumberFormat="1" applyBorder="1" applyAlignment="1">
      <alignment vertical="top" wrapText="1"/>
    </xf>
    <xf numFmtId="43" fontId="0" fillId="0" borderId="16" xfId="9" applyFont="1" applyBorder="1" applyAlignment="1">
      <alignment vertical="top" wrapText="1"/>
    </xf>
    <xf numFmtId="43" fontId="0" fillId="0" borderId="17" xfId="9" applyFont="1" applyBorder="1" applyAlignment="1">
      <alignment vertical="top" wrapText="1"/>
    </xf>
    <xf numFmtId="0" fontId="0" fillId="4" borderId="0" xfId="0" applyFill="1" applyBorder="1"/>
    <xf numFmtId="3" fontId="0" fillId="4" borderId="0" xfId="0" applyNumberFormat="1" applyFill="1" applyBorder="1"/>
    <xf numFmtId="0" fontId="0" fillId="0" borderId="10" xfId="0" applyBorder="1" applyAlignment="1">
      <alignment horizontal="center"/>
    </xf>
    <xf numFmtId="3" fontId="19" fillId="0" borderId="18" xfId="0" applyNumberFormat="1" applyFont="1" applyBorder="1" applyAlignment="1">
      <alignment horizontal="center" vertical="top" wrapText="1"/>
    </xf>
    <xf numFmtId="0" fontId="19" fillId="0" borderId="19" xfId="0" applyFont="1" applyBorder="1" applyAlignment="1">
      <alignment vertical="center" wrapText="1"/>
    </xf>
    <xf numFmtId="3" fontId="19" fillId="0" borderId="19" xfId="0" applyNumberFormat="1" applyFont="1" applyBorder="1" applyAlignment="1">
      <alignment horizontal="right" vertical="center" wrapText="1"/>
    </xf>
    <xf numFmtId="43" fontId="19" fillId="0" borderId="19" xfId="9" applyFont="1" applyBorder="1" applyAlignment="1">
      <alignment horizontal="right" vertical="center" wrapText="1"/>
    </xf>
    <xf numFmtId="43" fontId="0" fillId="0" borderId="19" xfId="9" applyFont="1" applyBorder="1"/>
    <xf numFmtId="3" fontId="19" fillId="7" borderId="6" xfId="0" applyNumberFormat="1" applyFont="1" applyFill="1" applyBorder="1" applyAlignment="1">
      <alignment horizontal="right" vertical="center" wrapText="1"/>
    </xf>
    <xf numFmtId="43" fontId="19" fillId="7" borderId="4" xfId="9" applyFont="1" applyFill="1" applyBorder="1" applyAlignment="1">
      <alignment horizontal="right" vertical="center" wrapText="1"/>
    </xf>
    <xf numFmtId="43" fontId="21" fillId="7" borderId="4" xfId="9" applyFont="1" applyFill="1" applyBorder="1" applyAlignment="1">
      <alignment horizontal="right" vertical="center"/>
    </xf>
    <xf numFmtId="43" fontId="0" fillId="7" borderId="4" xfId="9" applyFont="1" applyFill="1" applyBorder="1"/>
    <xf numFmtId="3" fontId="19" fillId="7" borderId="4" xfId="0" applyNumberFormat="1" applyFont="1" applyFill="1" applyBorder="1" applyAlignment="1">
      <alignment horizontal="right" vertical="center" wrapText="1"/>
    </xf>
    <xf numFmtId="43" fontId="19" fillId="7" borderId="19" xfId="9" applyFont="1" applyFill="1" applyBorder="1" applyAlignment="1">
      <alignment horizontal="right" vertical="center" wrapText="1"/>
    </xf>
    <xf numFmtId="3" fontId="19" fillId="7" borderId="19" xfId="0" applyNumberFormat="1" applyFont="1" applyFill="1" applyBorder="1" applyAlignment="1">
      <alignment horizontal="right" vertical="center" wrapText="1"/>
    </xf>
    <xf numFmtId="3" fontId="0" fillId="7" borderId="16" xfId="0" applyNumberFormat="1" applyFill="1" applyBorder="1" applyAlignment="1">
      <alignment vertical="top" wrapText="1"/>
    </xf>
    <xf numFmtId="0" fontId="11" fillId="0" borderId="0" xfId="0" applyFont="1" applyAlignment="1">
      <alignment vertical="top" wrapText="1"/>
    </xf>
    <xf numFmtId="44" fontId="0" fillId="0" borderId="4" xfId="1" applyFont="1" applyBorder="1"/>
    <xf numFmtId="0" fontId="0" fillId="0" borderId="0" xfId="0" applyFill="1" applyBorder="1" applyAlignment="1">
      <alignment vertical="top" wrapText="1"/>
    </xf>
    <xf numFmtId="44" fontId="0" fillId="0" borderId="0" xfId="0" applyNumberFormat="1" applyFill="1" applyBorder="1" applyAlignment="1">
      <alignment vertical="top" wrapText="1"/>
    </xf>
    <xf numFmtId="44" fontId="5" fillId="0" borderId="0" xfId="7" applyNumberFormat="1" applyFill="1" applyBorder="1" applyAlignment="1">
      <alignment vertical="top"/>
    </xf>
    <xf numFmtId="0" fontId="0" fillId="0" borderId="14" xfId="0" applyBorder="1" applyAlignment="1">
      <alignment vertical="top" wrapText="1"/>
    </xf>
    <xf numFmtId="0" fontId="23" fillId="0" borderId="4" xfId="0" applyFont="1" applyBorder="1" applyAlignment="1">
      <alignment vertical="top" wrapText="1"/>
    </xf>
    <xf numFmtId="0" fontId="0" fillId="0" borderId="1" xfId="0" applyBorder="1" applyAlignment="1">
      <alignment vertical="top" wrapText="1"/>
    </xf>
    <xf numFmtId="0" fontId="11" fillId="4" borderId="1" xfId="0" applyFont="1" applyFill="1" applyBorder="1"/>
    <xf numFmtId="0" fontId="0" fillId="0" borderId="1" xfId="0" applyFont="1" applyFill="1" applyBorder="1" applyAlignment="1">
      <alignment vertical="top" wrapText="1"/>
    </xf>
    <xf numFmtId="0" fontId="2" fillId="2" borderId="1" xfId="0" applyFont="1" applyFill="1" applyBorder="1" applyAlignment="1">
      <alignment vertical="top" wrapText="1"/>
    </xf>
    <xf numFmtId="0" fontId="0" fillId="0" borderId="1" xfId="0" applyFill="1" applyBorder="1" applyAlignment="1">
      <alignment vertical="top" wrapText="1"/>
    </xf>
    <xf numFmtId="0" fontId="2" fillId="0" borderId="1" xfId="0" applyFont="1" applyFill="1" applyBorder="1" applyAlignment="1">
      <alignment vertical="top" wrapText="1"/>
    </xf>
    <xf numFmtId="0" fontId="2" fillId="3" borderId="1" xfId="0" applyFont="1" applyFill="1" applyBorder="1" applyAlignment="1">
      <alignment vertical="top" wrapText="1"/>
    </xf>
    <xf numFmtId="0" fontId="0" fillId="0" borderId="1" xfId="0" applyFont="1" applyBorder="1" applyAlignment="1">
      <alignment vertical="top" wrapText="1"/>
    </xf>
    <xf numFmtId="0" fontId="16" fillId="0" borderId="14" xfId="0" applyFont="1" applyBorder="1" applyAlignment="1">
      <alignment vertical="top" wrapText="1"/>
    </xf>
    <xf numFmtId="0" fontId="11" fillId="0" borderId="1" xfId="0" applyFont="1" applyBorder="1" applyAlignment="1">
      <alignment vertical="top" wrapText="1"/>
    </xf>
    <xf numFmtId="0" fontId="11" fillId="0" borderId="1" xfId="0" applyFont="1" applyFill="1" applyBorder="1" applyAlignment="1">
      <alignment vertical="top" wrapText="1"/>
    </xf>
    <xf numFmtId="166" fontId="2" fillId="0" borderId="0" xfId="0" applyNumberFormat="1" applyFont="1" applyAlignment="1">
      <alignment horizontal="center" vertical="top" wrapText="1"/>
    </xf>
    <xf numFmtId="43" fontId="24" fillId="0" borderId="0" xfId="9" applyFont="1" applyAlignment="1">
      <alignment vertical="top" wrapText="1"/>
    </xf>
    <xf numFmtId="6" fontId="11" fillId="0" borderId="1" xfId="0" applyNumberFormat="1" applyFont="1" applyFill="1" applyBorder="1" applyAlignment="1">
      <alignment vertical="top" wrapText="1"/>
    </xf>
    <xf numFmtId="0" fontId="24" fillId="0" borderId="0" xfId="0" applyFont="1" applyAlignment="1">
      <alignment vertical="top" wrapText="1"/>
    </xf>
    <xf numFmtId="0" fontId="25" fillId="0" borderId="1" xfId="0" applyFont="1" applyBorder="1" applyAlignment="1">
      <alignment vertical="top" wrapText="1"/>
    </xf>
    <xf numFmtId="166" fontId="11" fillId="0" borderId="0" xfId="0" applyNumberFormat="1" applyFont="1" applyAlignment="1">
      <alignment vertical="top" wrapText="1"/>
    </xf>
    <xf numFmtId="0" fontId="8" fillId="0" borderId="4" xfId="7" applyFont="1" applyFill="1" applyBorder="1" applyAlignment="1">
      <alignment horizontal="center" vertical="center"/>
    </xf>
    <xf numFmtId="0" fontId="4" fillId="4" borderId="4" xfId="0" applyFont="1" applyFill="1" applyBorder="1" applyAlignment="1">
      <alignment vertical="top" wrapText="1"/>
    </xf>
    <xf numFmtId="0" fontId="0" fillId="4" borderId="0" xfId="0" applyFill="1" applyAlignment="1">
      <alignment vertical="top" wrapText="1"/>
    </xf>
    <xf numFmtId="0" fontId="0" fillId="4" borderId="4" xfId="0" applyFill="1" applyBorder="1" applyAlignment="1">
      <alignment vertical="top" wrapText="1"/>
    </xf>
    <xf numFmtId="44" fontId="0" fillId="4" borderId="0" xfId="0" applyNumberFormat="1" applyFill="1" applyAlignment="1">
      <alignment vertical="top" wrapText="1"/>
    </xf>
    <xf numFmtId="0" fontId="0" fillId="4" borderId="4" xfId="0" applyFont="1" applyFill="1" applyBorder="1" applyAlignment="1">
      <alignment vertical="top" wrapText="1"/>
    </xf>
    <xf numFmtId="44" fontId="11" fillId="4" borderId="4" xfId="1" applyNumberFormat="1" applyFont="1" applyFill="1" applyBorder="1" applyAlignment="1">
      <alignment vertical="top" wrapText="1"/>
    </xf>
    <xf numFmtId="0" fontId="11" fillId="0" borderId="4" xfId="0" applyFont="1" applyBorder="1" applyAlignment="1">
      <alignment vertical="top" wrapText="1"/>
    </xf>
    <xf numFmtId="43" fontId="11" fillId="0" borderId="4" xfId="9" applyFont="1" applyBorder="1" applyAlignment="1">
      <alignment vertical="top" wrapText="1"/>
    </xf>
    <xf numFmtId="43" fontId="11" fillId="0" borderId="4" xfId="0" applyNumberFormat="1" applyFont="1" applyBorder="1" applyAlignment="1">
      <alignment vertical="top" wrapText="1"/>
    </xf>
    <xf numFmtId="44" fontId="11" fillId="0" borderId="4" xfId="0" applyNumberFormat="1" applyFont="1" applyFill="1" applyBorder="1" applyAlignment="1">
      <alignment vertical="top" wrapText="1"/>
    </xf>
    <xf numFmtId="44" fontId="0" fillId="0" borderId="4" xfId="0" applyNumberFormat="1" applyBorder="1" applyAlignment="1">
      <alignment vertical="top" wrapText="1"/>
    </xf>
    <xf numFmtId="44" fontId="0" fillId="0" borderId="4" xfId="0" applyNumberFormat="1" applyFill="1" applyBorder="1" applyAlignment="1">
      <alignment vertical="top" wrapText="1"/>
    </xf>
    <xf numFmtId="0" fontId="2" fillId="0" borderId="1" xfId="0" applyFont="1" applyBorder="1" applyAlignment="1">
      <alignment vertical="top" wrapText="1"/>
    </xf>
    <xf numFmtId="167" fontId="0" fillId="0" borderId="4" xfId="1" applyNumberFormat="1" applyFont="1" applyBorder="1" applyAlignment="1">
      <alignment vertical="top" wrapText="1"/>
    </xf>
    <xf numFmtId="167" fontId="0" fillId="0" borderId="4" xfId="1" applyNumberFormat="1" applyFont="1" applyFill="1" applyBorder="1" applyAlignment="1">
      <alignment vertical="top" wrapText="1"/>
    </xf>
    <xf numFmtId="167" fontId="0" fillId="4" borderId="4" xfId="1" applyNumberFormat="1" applyFont="1" applyFill="1" applyBorder="1" applyAlignment="1">
      <alignment vertical="top" wrapText="1"/>
    </xf>
    <xf numFmtId="167" fontId="0" fillId="2" borderId="4" xfId="1" applyNumberFormat="1" applyFont="1" applyFill="1" applyBorder="1" applyAlignment="1">
      <alignment vertical="top" wrapText="1"/>
    </xf>
    <xf numFmtId="167" fontId="0" fillId="0" borderId="4" xfId="0" applyNumberFormat="1" applyFont="1" applyBorder="1" applyAlignment="1">
      <alignment vertical="top" wrapText="1"/>
    </xf>
    <xf numFmtId="167" fontId="11" fillId="4" borderId="4" xfId="1" applyNumberFormat="1" applyFont="1" applyFill="1" applyBorder="1" applyAlignment="1">
      <alignment vertical="top" wrapText="1"/>
    </xf>
    <xf numFmtId="167" fontId="0" fillId="0" borderId="0" xfId="0" applyNumberFormat="1" applyAlignment="1">
      <alignment vertical="top" wrapText="1"/>
    </xf>
    <xf numFmtId="167" fontId="4" fillId="0" borderId="4" xfId="0" applyNumberFormat="1" applyFont="1" applyBorder="1" applyAlignment="1">
      <alignment horizontal="right" vertical="top" wrapText="1"/>
    </xf>
    <xf numFmtId="0" fontId="0" fillId="0" borderId="4" xfId="0" applyFont="1" applyFill="1" applyBorder="1" applyAlignment="1">
      <alignment vertical="top" wrapText="1"/>
    </xf>
    <xf numFmtId="0" fontId="10" fillId="0" borderId="20" xfId="0" applyFont="1" applyBorder="1" applyAlignment="1">
      <alignment vertical="top" wrapText="1"/>
    </xf>
    <xf numFmtId="0" fontId="0" fillId="0" borderId="24" xfId="0" applyBorder="1" applyAlignment="1">
      <alignment vertical="top" wrapText="1"/>
    </xf>
    <xf numFmtId="0" fontId="0" fillId="0" borderId="21" xfId="0" applyBorder="1" applyAlignment="1">
      <alignment vertical="top" wrapText="1"/>
    </xf>
    <xf numFmtId="0" fontId="3" fillId="0" borderId="22" xfId="0" applyFont="1" applyFill="1" applyBorder="1" applyAlignment="1">
      <alignment vertical="top" wrapText="1"/>
    </xf>
    <xf numFmtId="0" fontId="0" fillId="0" borderId="14" xfId="0" applyFont="1" applyBorder="1" applyAlignment="1">
      <alignment vertical="top" wrapText="1"/>
    </xf>
    <xf numFmtId="165" fontId="0" fillId="0" borderId="23" xfId="0" applyNumberFormat="1" applyBorder="1" applyAlignment="1">
      <alignment vertical="top" wrapText="1"/>
    </xf>
    <xf numFmtId="0" fontId="4" fillId="0" borderId="14" xfId="0" applyFont="1" applyBorder="1" applyAlignment="1">
      <alignment vertical="top" wrapText="1"/>
    </xf>
    <xf numFmtId="0" fontId="4" fillId="2" borderId="14" xfId="0" applyFont="1" applyFill="1" applyBorder="1" applyAlignment="1">
      <alignment vertical="top" wrapText="1"/>
    </xf>
    <xf numFmtId="0" fontId="4" fillId="0" borderId="14" xfId="0" applyFont="1" applyFill="1" applyBorder="1" applyAlignment="1">
      <alignment vertical="top" wrapText="1"/>
    </xf>
    <xf numFmtId="0" fontId="4" fillId="3" borderId="14" xfId="0" applyFont="1" applyFill="1" applyBorder="1" applyAlignment="1">
      <alignment vertical="top" wrapText="1"/>
    </xf>
    <xf numFmtId="0" fontId="2" fillId="0" borderId="14" xfId="0" applyFont="1" applyBorder="1" applyAlignment="1">
      <alignment vertical="top" wrapText="1"/>
    </xf>
    <xf numFmtId="0" fontId="2" fillId="6" borderId="15" xfId="0" applyFont="1" applyFill="1" applyBorder="1" applyAlignment="1">
      <alignment vertical="top" wrapText="1"/>
    </xf>
    <xf numFmtId="0" fontId="2" fillId="6" borderId="26" xfId="0" applyFont="1" applyFill="1" applyBorder="1" applyAlignment="1">
      <alignment vertical="top" wrapText="1"/>
    </xf>
    <xf numFmtId="0" fontId="0" fillId="0" borderId="25" xfId="0" applyBorder="1" applyAlignment="1">
      <alignment vertical="top" wrapText="1"/>
    </xf>
    <xf numFmtId="165" fontId="0" fillId="0" borderId="3" xfId="0" applyNumberFormat="1" applyBorder="1" applyAlignment="1">
      <alignment vertical="top" wrapText="1"/>
    </xf>
    <xf numFmtId="0" fontId="3" fillId="0" borderId="28" xfId="0" applyFont="1" applyFill="1" applyBorder="1" applyAlignment="1">
      <alignment vertical="top" wrapText="1"/>
    </xf>
    <xf numFmtId="165" fontId="14" fillId="0" borderId="29" xfId="0" applyNumberFormat="1" applyFont="1" applyBorder="1" applyAlignment="1">
      <alignment vertical="top" wrapText="1"/>
    </xf>
    <xf numFmtId="167" fontId="0" fillId="0" borderId="14" xfId="1" applyNumberFormat="1" applyFont="1" applyBorder="1" applyAlignment="1">
      <alignment vertical="top" wrapText="1"/>
    </xf>
    <xf numFmtId="167" fontId="22" fillId="0" borderId="4" xfId="1" applyNumberFormat="1" applyFont="1" applyBorder="1" applyAlignment="1">
      <alignment vertical="top" wrapText="1"/>
    </xf>
    <xf numFmtId="167" fontId="0" fillId="0" borderId="3" xfId="1" applyNumberFormat="1" applyFont="1" applyBorder="1" applyAlignment="1">
      <alignment vertical="top" wrapText="1"/>
    </xf>
    <xf numFmtId="167" fontId="0" fillId="0" borderId="23" xfId="1" applyNumberFormat="1" applyFont="1" applyBorder="1" applyAlignment="1">
      <alignment vertical="top" wrapText="1"/>
    </xf>
    <xf numFmtId="167" fontId="0" fillId="0" borderId="14" xfId="1" applyNumberFormat="1" applyFont="1" applyFill="1" applyBorder="1" applyAlignment="1">
      <alignment vertical="top" wrapText="1"/>
    </xf>
    <xf numFmtId="167" fontId="22" fillId="0" borderId="4" xfId="1" applyNumberFormat="1" applyFont="1" applyFill="1" applyBorder="1" applyAlignment="1">
      <alignment vertical="top" wrapText="1"/>
    </xf>
    <xf numFmtId="167" fontId="26" fillId="0" borderId="3" xfId="0" applyNumberFormat="1" applyFont="1" applyBorder="1"/>
    <xf numFmtId="167" fontId="26" fillId="0" borderId="4" xfId="0" applyNumberFormat="1" applyFont="1" applyBorder="1"/>
    <xf numFmtId="167" fontId="1" fillId="4" borderId="23" xfId="1" applyNumberFormat="1" applyFont="1" applyFill="1" applyBorder="1" applyAlignment="1">
      <alignment vertical="top" wrapText="1"/>
    </xf>
    <xf numFmtId="167" fontId="1" fillId="0" borderId="23" xfId="1" applyNumberFormat="1" applyFont="1" applyFill="1" applyBorder="1" applyAlignment="1">
      <alignment vertical="top" wrapText="1"/>
    </xf>
    <xf numFmtId="167" fontId="1" fillId="0" borderId="29" xfId="1" applyNumberFormat="1" applyFont="1" applyFill="1" applyBorder="1" applyAlignment="1">
      <alignment vertical="top" wrapText="1"/>
    </xf>
    <xf numFmtId="167" fontId="1" fillId="0" borderId="3" xfId="1" applyNumberFormat="1" applyFont="1" applyFill="1" applyBorder="1" applyAlignment="1">
      <alignment vertical="top" wrapText="1"/>
    </xf>
    <xf numFmtId="167" fontId="1" fillId="0" borderId="4" xfId="1" applyNumberFormat="1" applyFont="1" applyFill="1" applyBorder="1" applyAlignment="1">
      <alignment vertical="top" wrapText="1"/>
    </xf>
    <xf numFmtId="167" fontId="0" fillId="2" borderId="14" xfId="1" applyNumberFormat="1" applyFont="1" applyFill="1" applyBorder="1" applyAlignment="1">
      <alignment vertical="top" wrapText="1"/>
    </xf>
    <xf numFmtId="167" fontId="22" fillId="2" borderId="4" xfId="1" applyNumberFormat="1" applyFont="1" applyFill="1" applyBorder="1" applyAlignment="1">
      <alignment vertical="top" wrapText="1"/>
    </xf>
    <xf numFmtId="167" fontId="1" fillId="2" borderId="3" xfId="1" applyNumberFormat="1" applyFont="1" applyFill="1" applyBorder="1" applyAlignment="1">
      <alignment vertical="top" wrapText="1"/>
    </xf>
    <xf numFmtId="167" fontId="1" fillId="2" borderId="4" xfId="1" applyNumberFormat="1" applyFont="1" applyFill="1" applyBorder="1" applyAlignment="1">
      <alignment vertical="top" wrapText="1"/>
    </xf>
    <xf numFmtId="167" fontId="1" fillId="0" borderId="29" xfId="1" applyNumberFormat="1" applyFont="1" applyBorder="1" applyAlignment="1">
      <alignment vertical="top" wrapText="1"/>
    </xf>
    <xf numFmtId="167" fontId="1" fillId="0" borderId="3" xfId="1" applyNumberFormat="1" applyFont="1" applyBorder="1" applyAlignment="1">
      <alignment vertical="top" wrapText="1"/>
    </xf>
    <xf numFmtId="167" fontId="1" fillId="0" borderId="4" xfId="1" applyNumberFormat="1" applyFont="1" applyBorder="1" applyAlignment="1">
      <alignment vertical="top" wrapText="1"/>
    </xf>
    <xf numFmtId="167" fontId="1" fillId="0" borderId="23" xfId="1" applyNumberFormat="1" applyFont="1" applyBorder="1" applyAlignment="1">
      <alignment vertical="top" wrapText="1"/>
    </xf>
    <xf numFmtId="167" fontId="22" fillId="0" borderId="23" xfId="1" applyNumberFormat="1" applyFont="1" applyFill="1" applyBorder="1" applyAlignment="1">
      <alignment vertical="top" wrapText="1"/>
    </xf>
    <xf numFmtId="167" fontId="0" fillId="0" borderId="23" xfId="1" applyNumberFormat="1" applyFont="1" applyFill="1" applyBorder="1" applyAlignment="1">
      <alignment vertical="top" wrapText="1"/>
    </xf>
    <xf numFmtId="167" fontId="0" fillId="2" borderId="3" xfId="1" applyNumberFormat="1" applyFont="1" applyFill="1" applyBorder="1" applyAlignment="1">
      <alignment vertical="top" wrapText="1"/>
    </xf>
    <xf numFmtId="167" fontId="0" fillId="2" borderId="23" xfId="1" applyNumberFormat="1" applyFont="1" applyFill="1" applyBorder="1" applyAlignment="1">
      <alignment vertical="top" wrapText="1"/>
    </xf>
    <xf numFmtId="167" fontId="0" fillId="0" borderId="3" xfId="1" applyNumberFormat="1" applyFont="1" applyFill="1" applyBorder="1" applyAlignment="1">
      <alignment vertical="top" wrapText="1"/>
    </xf>
    <xf numFmtId="167" fontId="0" fillId="3" borderId="14" xfId="1" applyNumberFormat="1" applyFont="1" applyFill="1" applyBorder="1" applyAlignment="1">
      <alignment vertical="top" wrapText="1"/>
    </xf>
    <xf numFmtId="167" fontId="0" fillId="3" borderId="4" xfId="1" applyNumberFormat="1" applyFont="1" applyFill="1" applyBorder="1" applyAlignment="1">
      <alignment vertical="top" wrapText="1"/>
    </xf>
    <xf numFmtId="167" fontId="22" fillId="3" borderId="4" xfId="1" applyNumberFormat="1" applyFont="1" applyFill="1" applyBorder="1" applyAlignment="1">
      <alignment vertical="top" wrapText="1"/>
    </xf>
    <xf numFmtId="167" fontId="0" fillId="3" borderId="3" xfId="1" applyNumberFormat="1" applyFont="1" applyFill="1" applyBorder="1" applyAlignment="1">
      <alignment vertical="top" wrapText="1"/>
    </xf>
    <xf numFmtId="167" fontId="0" fillId="3" borderId="23" xfId="1" applyNumberFormat="1" applyFont="1" applyFill="1" applyBorder="1" applyAlignment="1">
      <alignment vertical="top" wrapText="1"/>
    </xf>
    <xf numFmtId="167" fontId="0" fillId="4" borderId="14" xfId="1" applyNumberFormat="1" applyFont="1" applyFill="1" applyBorder="1" applyAlignment="1">
      <alignment wrapText="1"/>
    </xf>
    <xf numFmtId="167" fontId="0" fillId="4" borderId="4" xfId="1" applyNumberFormat="1" applyFont="1" applyFill="1" applyBorder="1" applyAlignment="1">
      <alignment wrapText="1"/>
    </xf>
    <xf numFmtId="167" fontId="22" fillId="0" borderId="4" xfId="1" applyNumberFormat="1" applyFont="1" applyBorder="1" applyAlignment="1">
      <alignment wrapText="1"/>
    </xf>
    <xf numFmtId="167" fontId="0" fillId="4" borderId="4" xfId="9" applyNumberFormat="1" applyFont="1" applyFill="1" applyBorder="1" applyAlignment="1">
      <alignment horizontal="center" vertical="center" wrapText="1"/>
    </xf>
    <xf numFmtId="167" fontId="0" fillId="4" borderId="23" xfId="1" applyNumberFormat="1" applyFont="1" applyFill="1" applyBorder="1" applyAlignment="1">
      <alignment vertical="top" wrapText="1"/>
    </xf>
    <xf numFmtId="167" fontId="0" fillId="4" borderId="3" xfId="9" applyNumberFormat="1" applyFont="1" applyFill="1" applyBorder="1" applyAlignment="1">
      <alignment horizontal="center" vertical="center" wrapText="1"/>
    </xf>
    <xf numFmtId="167" fontId="0" fillId="0" borderId="3" xfId="9" applyNumberFormat="1" applyFont="1" applyFill="1" applyBorder="1" applyAlignment="1">
      <alignment horizontal="right" vertical="center" wrapText="1" indent="1"/>
    </xf>
    <xf numFmtId="167" fontId="0" fillId="0" borderId="4" xfId="9" applyNumberFormat="1" applyFont="1" applyFill="1" applyBorder="1" applyAlignment="1">
      <alignment horizontal="center" vertical="center" wrapText="1"/>
    </xf>
    <xf numFmtId="167" fontId="0" fillId="0" borderId="14" xfId="0" applyNumberFormat="1" applyBorder="1" applyAlignment="1">
      <alignment vertical="top" wrapText="1"/>
    </xf>
    <xf numFmtId="167" fontId="0" fillId="0" borderId="4" xfId="0" applyNumberFormat="1" applyBorder="1" applyAlignment="1">
      <alignment vertical="top" wrapText="1"/>
    </xf>
    <xf numFmtId="167" fontId="0" fillId="0" borderId="3" xfId="0" applyNumberFormat="1" applyBorder="1" applyAlignment="1">
      <alignment vertical="top" wrapText="1"/>
    </xf>
    <xf numFmtId="167" fontId="0" fillId="0" borderId="23" xfId="0" applyNumberFormat="1" applyBorder="1" applyAlignment="1">
      <alignment vertical="top" wrapText="1"/>
    </xf>
    <xf numFmtId="167" fontId="1" fillId="0" borderId="14" xfId="9" applyNumberFormat="1" applyFont="1" applyBorder="1" applyAlignment="1">
      <alignment vertical="top" wrapText="1"/>
    </xf>
    <xf numFmtId="167" fontId="11" fillId="0" borderId="23" xfId="1" applyNumberFormat="1" applyFont="1" applyFill="1" applyBorder="1" applyAlignment="1">
      <alignment vertical="top" wrapText="1"/>
    </xf>
    <xf numFmtId="167" fontId="0" fillId="4" borderId="14" xfId="1" applyNumberFormat="1" applyFont="1" applyFill="1" applyBorder="1" applyAlignment="1">
      <alignment vertical="top" wrapText="1"/>
    </xf>
    <xf numFmtId="167" fontId="0" fillId="0" borderId="3" xfId="9" applyNumberFormat="1" applyFont="1" applyBorder="1" applyAlignment="1">
      <alignment vertical="top" wrapText="1"/>
    </xf>
    <xf numFmtId="167" fontId="0" fillId="0" borderId="4" xfId="9" applyNumberFormat="1" applyFont="1" applyBorder="1" applyAlignment="1">
      <alignment vertical="top" wrapText="1"/>
    </xf>
    <xf numFmtId="167" fontId="0" fillId="0" borderId="14" xfId="0" applyNumberFormat="1" applyFont="1" applyBorder="1" applyAlignment="1">
      <alignment vertical="top" wrapText="1"/>
    </xf>
    <xf numFmtId="167" fontId="22" fillId="0" borderId="4" xfId="0" applyNumberFormat="1" applyFont="1" applyBorder="1" applyAlignment="1">
      <alignment vertical="top" wrapText="1"/>
    </xf>
    <xf numFmtId="167" fontId="0" fillId="0" borderId="3" xfId="0" applyNumberFormat="1" applyFont="1" applyBorder="1" applyAlignment="1">
      <alignment vertical="top" wrapText="1"/>
    </xf>
    <xf numFmtId="167" fontId="11" fillId="6" borderId="15" xfId="1" applyNumberFormat="1" applyFont="1" applyFill="1" applyBorder="1" applyAlignment="1">
      <alignment vertical="top" wrapText="1"/>
    </xf>
    <xf numFmtId="167" fontId="11" fillId="6" borderId="16" xfId="1" applyNumberFormat="1" applyFont="1" applyFill="1" applyBorder="1" applyAlignment="1">
      <alignment vertical="top" wrapText="1"/>
    </xf>
    <xf numFmtId="167" fontId="24" fillId="6" borderId="16" xfId="1" applyNumberFormat="1" applyFont="1" applyFill="1" applyBorder="1" applyAlignment="1">
      <alignment vertical="top" wrapText="1"/>
    </xf>
    <xf numFmtId="167" fontId="11" fillId="6" borderId="30" xfId="1" applyNumberFormat="1" applyFont="1" applyFill="1" applyBorder="1" applyAlignment="1">
      <alignment vertical="top" wrapText="1"/>
    </xf>
    <xf numFmtId="167" fontId="11" fillId="6" borderId="27" xfId="1" applyNumberFormat="1" applyFont="1" applyFill="1" applyBorder="1" applyAlignment="1">
      <alignment vertical="top" wrapText="1"/>
    </xf>
    <xf numFmtId="168" fontId="11" fillId="6" borderId="17" xfId="1" applyNumberFormat="1" applyFont="1" applyFill="1" applyBorder="1" applyAlignment="1">
      <alignment vertical="top" wrapText="1"/>
    </xf>
    <xf numFmtId="167" fontId="0" fillId="0" borderId="3" xfId="0" applyNumberFormat="1" applyFont="1" applyBorder="1"/>
    <xf numFmtId="167" fontId="0" fillId="0" borderId="4" xfId="0" applyNumberFormat="1" applyFont="1" applyBorder="1"/>
    <xf numFmtId="168" fontId="0" fillId="0" borderId="0" xfId="0" applyNumberFormat="1" applyAlignment="1">
      <alignment vertical="top" wrapText="1"/>
    </xf>
    <xf numFmtId="166" fontId="0" fillId="0" borderId="0" xfId="0" applyNumberFormat="1" applyAlignment="1">
      <alignment vertical="top"/>
    </xf>
    <xf numFmtId="166" fontId="22" fillId="0" borderId="0" xfId="0" applyNumberFormat="1" applyFont="1" applyAlignment="1">
      <alignment horizontal="left"/>
    </xf>
    <xf numFmtId="167" fontId="2" fillId="0" borderId="0" xfId="0" applyNumberFormat="1" applyFont="1" applyAlignment="1">
      <alignment horizontal="center" vertical="top" wrapText="1"/>
    </xf>
    <xf numFmtId="0" fontId="4" fillId="10" borderId="4" xfId="0" applyFont="1" applyFill="1" applyBorder="1" applyAlignment="1">
      <alignment vertical="top" wrapText="1"/>
    </xf>
    <xf numFmtId="167" fontId="1" fillId="9" borderId="29" xfId="1" applyNumberFormat="1" applyFont="1" applyFill="1" applyBorder="1" applyAlignment="1">
      <alignment vertical="top" wrapText="1"/>
    </xf>
    <xf numFmtId="167" fontId="11" fillId="6" borderId="4" xfId="0" applyNumberFormat="1" applyFont="1" applyFill="1" applyBorder="1" applyAlignment="1">
      <alignment vertical="top" wrapText="1"/>
    </xf>
    <xf numFmtId="167" fontId="1" fillId="4" borderId="4" xfId="1" applyNumberFormat="1" applyFont="1" applyFill="1" applyBorder="1" applyAlignment="1">
      <alignment vertical="top" wrapText="1"/>
    </xf>
    <xf numFmtId="167" fontId="1" fillId="9" borderId="23" xfId="1" applyNumberFormat="1" applyFont="1" applyFill="1" applyBorder="1" applyAlignment="1">
      <alignment vertical="top" wrapText="1"/>
    </xf>
    <xf numFmtId="0" fontId="0" fillId="4" borderId="4" xfId="0" applyFont="1" applyFill="1" applyBorder="1"/>
    <xf numFmtId="0" fontId="27" fillId="0" borderId="4" xfId="0" applyFont="1" applyBorder="1" applyAlignment="1">
      <alignment vertical="top" wrapText="1"/>
    </xf>
    <xf numFmtId="0" fontId="4" fillId="9" borderId="4" xfId="0" applyFont="1" applyFill="1" applyBorder="1" applyAlignment="1">
      <alignment vertical="top" wrapText="1"/>
    </xf>
    <xf numFmtId="6" fontId="0" fillId="0" borderId="4" xfId="0" applyNumberFormat="1" applyFont="1" applyFill="1" applyBorder="1" applyAlignment="1">
      <alignment vertical="top" wrapText="1"/>
    </xf>
    <xf numFmtId="0" fontId="27" fillId="4" borderId="4" xfId="0" applyFont="1" applyFill="1" applyBorder="1" applyAlignment="1">
      <alignment vertical="top" wrapText="1"/>
    </xf>
    <xf numFmtId="167" fontId="1" fillId="9" borderId="4" xfId="1" applyNumberFormat="1" applyFont="1" applyFill="1" applyBorder="1" applyAlignment="1">
      <alignment vertical="top" wrapText="1"/>
    </xf>
    <xf numFmtId="167" fontId="1" fillId="10" borderId="4" xfId="1" applyNumberFormat="1" applyFont="1" applyFill="1" applyBorder="1" applyAlignment="1">
      <alignment vertical="top" wrapText="1"/>
    </xf>
    <xf numFmtId="167" fontId="0" fillId="9" borderId="4" xfId="0" applyNumberFormat="1" applyFont="1" applyFill="1" applyBorder="1" applyAlignment="1">
      <alignment vertical="top" wrapText="1"/>
    </xf>
    <xf numFmtId="167" fontId="1" fillId="10" borderId="4" xfId="9" applyNumberFormat="1" applyFont="1" applyFill="1" applyBorder="1" applyAlignment="1">
      <alignment vertical="top" wrapText="1"/>
    </xf>
    <xf numFmtId="167" fontId="1" fillId="2" borderId="29" xfId="1" applyNumberFormat="1" applyFont="1" applyFill="1" applyBorder="1" applyAlignment="1">
      <alignment vertical="top" wrapText="1"/>
    </xf>
    <xf numFmtId="167" fontId="1" fillId="3" borderId="29" xfId="1" applyNumberFormat="1" applyFont="1" applyFill="1" applyBorder="1" applyAlignment="1">
      <alignment vertical="top" wrapText="1"/>
    </xf>
    <xf numFmtId="167" fontId="1" fillId="0" borderId="29" xfId="1" applyNumberFormat="1" applyFont="1" applyFill="1" applyBorder="1" applyAlignment="1">
      <alignment wrapText="1"/>
    </xf>
    <xf numFmtId="167" fontId="0" fillId="0" borderId="29" xfId="0" applyNumberFormat="1" applyFont="1" applyBorder="1" applyAlignment="1">
      <alignment vertical="top" wrapText="1"/>
    </xf>
    <xf numFmtId="4" fontId="0" fillId="0" borderId="0" xfId="0" applyNumberFormat="1" applyAlignment="1">
      <alignment vertical="top" wrapText="1"/>
    </xf>
    <xf numFmtId="167" fontId="22" fillId="0" borderId="1" xfId="1" applyNumberFormat="1" applyFont="1" applyFill="1" applyBorder="1" applyAlignment="1">
      <alignment vertical="top" wrapText="1"/>
    </xf>
    <xf numFmtId="167" fontId="0" fillId="4" borderId="3" xfId="1" applyNumberFormat="1" applyFont="1" applyFill="1" applyBorder="1" applyAlignment="1">
      <alignment vertical="top" wrapText="1"/>
    </xf>
    <xf numFmtId="167" fontId="11" fillId="4" borderId="3" xfId="1" applyNumberFormat="1" applyFont="1" applyFill="1" applyBorder="1" applyAlignment="1">
      <alignment vertical="top" wrapText="1"/>
    </xf>
    <xf numFmtId="0" fontId="0" fillId="0" borderId="0" xfId="0" applyAlignment="1">
      <alignment vertical="top"/>
    </xf>
    <xf numFmtId="167" fontId="3" fillId="0" borderId="4" xfId="1" applyNumberFormat="1" applyFont="1" applyBorder="1" applyAlignment="1">
      <alignment vertical="top" wrapText="1"/>
    </xf>
    <xf numFmtId="167" fontId="3" fillId="0" borderId="23" xfId="1" applyNumberFormat="1" applyFont="1" applyFill="1" applyBorder="1" applyAlignment="1">
      <alignment vertical="top" wrapText="1"/>
    </xf>
    <xf numFmtId="167" fontId="0" fillId="0" borderId="3" xfId="0" applyNumberFormat="1" applyFill="1" applyBorder="1" applyAlignment="1">
      <alignment vertical="top" wrapText="1"/>
    </xf>
    <xf numFmtId="167" fontId="0" fillId="0" borderId="4" xfId="0" applyNumberFormat="1" applyFill="1" applyBorder="1" applyAlignment="1">
      <alignment vertical="top" wrapText="1"/>
    </xf>
    <xf numFmtId="167" fontId="0" fillId="0" borderId="3" xfId="9" applyNumberFormat="1" applyFont="1" applyFill="1" applyBorder="1" applyAlignment="1">
      <alignment horizontal="center" vertical="center" wrapText="1"/>
    </xf>
    <xf numFmtId="167" fontId="0" fillId="0" borderId="4" xfId="9" applyNumberFormat="1" applyFont="1" applyFill="1" applyBorder="1" applyAlignment="1">
      <alignment horizontal="right" vertical="center" wrapText="1" indent="1"/>
    </xf>
    <xf numFmtId="167" fontId="11" fillId="0" borderId="3" xfId="1" applyNumberFormat="1" applyFont="1" applyFill="1" applyBorder="1" applyAlignment="1">
      <alignment vertical="top" wrapText="1"/>
    </xf>
    <xf numFmtId="167" fontId="11" fillId="0" borderId="4" xfId="1" applyNumberFormat="1" applyFont="1" applyFill="1" applyBorder="1" applyAlignment="1">
      <alignment vertical="top" wrapText="1"/>
    </xf>
    <xf numFmtId="167" fontId="0" fillId="0" borderId="3" xfId="9" applyNumberFormat="1" applyFont="1" applyFill="1" applyBorder="1" applyAlignment="1">
      <alignment vertical="top" wrapText="1"/>
    </xf>
    <xf numFmtId="167" fontId="0" fillId="0" borderId="4" xfId="9" applyNumberFormat="1" applyFont="1" applyFill="1" applyBorder="1" applyAlignment="1">
      <alignment vertical="top" wrapText="1"/>
    </xf>
    <xf numFmtId="167" fontId="0" fillId="0" borderId="23" xfId="0" applyNumberFormat="1" applyFill="1" applyBorder="1" applyAlignment="1">
      <alignment vertical="top" wrapText="1"/>
    </xf>
    <xf numFmtId="4" fontId="22" fillId="0" borderId="0" xfId="0" applyNumberFormat="1" applyFont="1" applyAlignment="1">
      <alignment vertical="top" wrapText="1"/>
    </xf>
    <xf numFmtId="0" fontId="22" fillId="0" borderId="0" xfId="0" applyFont="1" applyAlignment="1">
      <alignment vertical="top"/>
    </xf>
    <xf numFmtId="0" fontId="4" fillId="0" borderId="4" xfId="0" applyFont="1" applyBorder="1" applyAlignment="1">
      <alignment vertical="top" wrapText="1"/>
    </xf>
    <xf numFmtId="0" fontId="5" fillId="0" borderId="0" xfId="7" applyFill="1" applyBorder="1" applyAlignment="1">
      <alignment horizontal="left" vertical="top"/>
    </xf>
    <xf numFmtId="0" fontId="5" fillId="0" borderId="0" xfId="7" applyFont="1" applyFill="1" applyBorder="1" applyAlignment="1">
      <alignment horizontal="left" vertical="top"/>
    </xf>
    <xf numFmtId="0" fontId="5" fillId="0" borderId="4" xfId="7" applyFill="1" applyBorder="1" applyAlignment="1">
      <alignment horizontal="center" vertical="top"/>
    </xf>
    <xf numFmtId="4" fontId="5" fillId="0" borderId="4" xfId="7" applyNumberFormat="1" applyFill="1" applyBorder="1" applyAlignment="1">
      <alignment vertical="top"/>
    </xf>
    <xf numFmtId="41" fontId="0" fillId="0" borderId="4" xfId="11" applyFont="1" applyBorder="1" applyAlignment="1">
      <alignment vertical="top" wrapText="1"/>
    </xf>
    <xf numFmtId="44" fontId="0" fillId="0" borderId="4" xfId="9" applyNumberFormat="1" applyFont="1" applyFill="1" applyBorder="1" applyAlignment="1">
      <alignment horizontal="center" vertical="center" wrapText="1"/>
    </xf>
    <xf numFmtId="41" fontId="0" fillId="4" borderId="4" xfId="11" applyFont="1" applyFill="1" applyBorder="1" applyAlignment="1">
      <alignment horizontal="center" vertical="center" wrapText="1"/>
    </xf>
    <xf numFmtId="44" fontId="0" fillId="11" borderId="4" xfId="1" applyNumberFormat="1" applyFont="1" applyFill="1" applyBorder="1" applyAlignment="1">
      <alignment vertical="top" wrapText="1"/>
    </xf>
    <xf numFmtId="0" fontId="29" fillId="0" borderId="0" xfId="0" applyFont="1" applyAlignment="1">
      <alignment horizontal="right" vertical="top" wrapText="1" indent="2"/>
    </xf>
    <xf numFmtId="0" fontId="22" fillId="0" borderId="0" xfId="0" applyFont="1" applyAlignment="1">
      <alignment vertical="top" wrapText="1"/>
    </xf>
    <xf numFmtId="167" fontId="22" fillId="0" borderId="0" xfId="0" applyNumberFormat="1" applyFont="1" applyAlignment="1">
      <alignment vertical="top" wrapText="1"/>
    </xf>
    <xf numFmtId="167" fontId="5" fillId="0" borderId="0" xfId="7" applyNumberFormat="1" applyFill="1" applyBorder="1" applyAlignment="1">
      <alignment vertical="top"/>
    </xf>
    <xf numFmtId="168" fontId="5" fillId="0" borderId="0" xfId="7" applyNumberFormat="1" applyFill="1" applyBorder="1" applyAlignment="1">
      <alignment vertical="top"/>
    </xf>
    <xf numFmtId="43" fontId="5" fillId="0" borderId="0" xfId="7" applyNumberFormat="1" applyFill="1" applyBorder="1" applyAlignment="1">
      <alignment vertical="top"/>
    </xf>
    <xf numFmtId="0" fontId="0" fillId="0" borderId="4" xfId="0" applyFont="1" applyFill="1" applyBorder="1"/>
    <xf numFmtId="0" fontId="0" fillId="0" borderId="4" xfId="0" applyFill="1" applyBorder="1"/>
    <xf numFmtId="44" fontId="0" fillId="0" borderId="4" xfId="9" applyNumberFormat="1" applyFont="1" applyFill="1" applyBorder="1" applyAlignment="1">
      <alignment vertical="top" wrapText="1"/>
    </xf>
    <xf numFmtId="44" fontId="3" fillId="0" borderId="4" xfId="1" applyNumberFormat="1" applyFont="1" applyFill="1" applyBorder="1" applyAlignment="1">
      <alignment vertical="top" wrapText="1"/>
    </xf>
    <xf numFmtId="44" fontId="0" fillId="0" borderId="4" xfId="0" applyNumberFormat="1" applyFont="1" applyFill="1" applyBorder="1" applyAlignment="1">
      <alignment vertical="top" wrapText="1"/>
    </xf>
    <xf numFmtId="0" fontId="11" fillId="0" borderId="0" xfId="0" applyFont="1" applyFill="1" applyBorder="1"/>
    <xf numFmtId="166" fontId="0" fillId="0" borderId="0" xfId="1" applyNumberFormat="1" applyFont="1" applyFill="1" applyBorder="1" applyAlignment="1">
      <alignment vertical="top" wrapText="1"/>
    </xf>
    <xf numFmtId="166" fontId="22" fillId="0" borderId="0" xfId="1" applyNumberFormat="1" applyFont="1" applyFill="1" applyBorder="1" applyAlignment="1">
      <alignment vertical="top" wrapText="1"/>
    </xf>
    <xf numFmtId="166" fontId="11" fillId="0" borderId="0" xfId="1" applyNumberFormat="1" applyFont="1" applyFill="1" applyBorder="1" applyAlignment="1">
      <alignment vertical="top" wrapText="1"/>
    </xf>
    <xf numFmtId="0" fontId="2" fillId="0" borderId="0" xfId="0" applyFont="1" applyFill="1" applyBorder="1" applyAlignment="1">
      <alignment vertical="top" wrapText="1"/>
    </xf>
    <xf numFmtId="166" fontId="0" fillId="0" borderId="0" xfId="0" applyNumberFormat="1" applyFill="1" applyBorder="1" applyAlignment="1">
      <alignment vertical="top" wrapText="1"/>
    </xf>
    <xf numFmtId="167" fontId="0" fillId="0" borderId="0" xfId="9" applyNumberFormat="1" applyFont="1" applyAlignment="1">
      <alignment vertical="top" wrapText="1"/>
    </xf>
    <xf numFmtId="169" fontId="26" fillId="0" borderId="31" xfId="10" applyNumberFormat="1" applyFont="1" applyBorder="1"/>
    <xf numFmtId="167" fontId="1" fillId="4" borderId="0" xfId="1" applyNumberFormat="1" applyFont="1" applyFill="1" applyBorder="1" applyAlignment="1">
      <alignment vertical="top" wrapText="1"/>
    </xf>
    <xf numFmtId="167" fontId="1" fillId="7" borderId="4" xfId="1" applyNumberFormat="1" applyFont="1" applyFill="1" applyBorder="1" applyAlignment="1">
      <alignment vertical="top" wrapText="1"/>
    </xf>
    <xf numFmtId="3" fontId="5" fillId="0" borderId="0" xfId="7" applyNumberFormat="1" applyFill="1" applyBorder="1" applyAlignment="1">
      <alignment vertical="top"/>
    </xf>
    <xf numFmtId="3" fontId="30" fillId="0" borderId="0" xfId="7" applyNumberFormat="1" applyFont="1" applyFill="1" applyBorder="1" applyAlignment="1">
      <alignment vertical="top"/>
    </xf>
    <xf numFmtId="0" fontId="2" fillId="0" borderId="20" xfId="0" applyFont="1" applyBorder="1" applyAlignment="1">
      <alignment horizontal="center" vertical="top" wrapText="1"/>
    </xf>
    <xf numFmtId="0" fontId="2" fillId="0" borderId="21" xfId="0" applyFont="1" applyBorder="1" applyAlignment="1">
      <alignment horizontal="center" vertical="top" wrapText="1"/>
    </xf>
    <xf numFmtId="0" fontId="13" fillId="0" borderId="0" xfId="7" applyFont="1" applyFill="1" applyBorder="1" applyAlignment="1">
      <alignment horizontal="left" vertical="top"/>
    </xf>
    <xf numFmtId="0" fontId="15" fillId="0" borderId="0" xfId="7" applyFont="1" applyFill="1" applyBorder="1" applyAlignment="1">
      <alignment horizontal="left" vertical="top"/>
    </xf>
    <xf numFmtId="0" fontId="14" fillId="0" borderId="5" xfId="0" applyFont="1" applyBorder="1" applyAlignment="1">
      <alignment horizontal="left" vertical="top" wrapText="1"/>
    </xf>
    <xf numFmtId="0" fontId="4" fillId="0" borderId="4" xfId="0" applyFont="1" applyBorder="1" applyAlignment="1">
      <alignment vertical="top" wrapText="1"/>
    </xf>
    <xf numFmtId="0" fontId="8" fillId="0" borderId="4" xfId="7" applyFont="1" applyBorder="1" applyAlignment="1">
      <alignment horizontal="center" vertical="center" wrapText="1"/>
    </xf>
    <xf numFmtId="0" fontId="5" fillId="0" borderId="4" xfId="7" applyFont="1" applyFill="1" applyBorder="1" applyAlignment="1">
      <alignment horizontal="left"/>
    </xf>
    <xf numFmtId="0" fontId="4" fillId="0" borderId="4" xfId="0" applyFont="1" applyBorder="1" applyAlignment="1">
      <alignment horizontal="left" vertical="top" wrapText="1"/>
    </xf>
    <xf numFmtId="0" fontId="5" fillId="0" borderId="4" xfId="7" applyFont="1" applyFill="1" applyBorder="1" applyAlignment="1">
      <alignment horizontal="center" vertical="top"/>
    </xf>
    <xf numFmtId="0" fontId="8" fillId="12" borderId="1" xfId="7" applyFont="1" applyFill="1" applyBorder="1" applyAlignment="1">
      <alignment horizontal="center" vertical="center" wrapText="1"/>
    </xf>
    <xf numFmtId="0" fontId="8" fillId="12" borderId="3" xfId="7" applyFont="1" applyFill="1" applyBorder="1" applyAlignment="1">
      <alignment horizontal="center" vertical="center" wrapText="1"/>
    </xf>
    <xf numFmtId="0" fontId="8" fillId="13" borderId="4" xfId="7" applyFont="1" applyFill="1" applyBorder="1" applyAlignment="1">
      <alignment horizontal="center" vertical="center" wrapText="1"/>
    </xf>
    <xf numFmtId="0" fontId="5" fillId="0" borderId="4" xfId="7" applyFill="1" applyBorder="1" applyAlignment="1">
      <alignment horizontal="center" vertical="top" wrapText="1"/>
    </xf>
    <xf numFmtId="0" fontId="8" fillId="0" borderId="1" xfId="7" applyFont="1" applyFill="1" applyBorder="1" applyAlignment="1">
      <alignment horizontal="center" vertical="center" wrapText="1"/>
    </xf>
    <xf numFmtId="0" fontId="8" fillId="0" borderId="3" xfId="7" applyFont="1" applyFill="1" applyBorder="1" applyAlignment="1">
      <alignment horizontal="center" vertical="center" wrapText="1"/>
    </xf>
    <xf numFmtId="0" fontId="8" fillId="0" borderId="2" xfId="7" applyFont="1" applyFill="1" applyBorder="1" applyAlignment="1">
      <alignment horizontal="center" vertical="center" wrapText="1"/>
    </xf>
    <xf numFmtId="0" fontId="8" fillId="11" borderId="1" xfId="7" applyFont="1" applyFill="1" applyBorder="1" applyAlignment="1">
      <alignment horizontal="center" vertical="center" wrapText="1"/>
    </xf>
    <xf numFmtId="0" fontId="8" fillId="11" borderId="3" xfId="7" applyFont="1" applyFill="1" applyBorder="1" applyAlignment="1">
      <alignment horizontal="center" vertical="center" wrapText="1"/>
    </xf>
    <xf numFmtId="0" fontId="8" fillId="7" borderId="4" xfId="7" applyFont="1" applyFill="1" applyBorder="1" applyAlignment="1">
      <alignment horizontal="center" vertical="center" wrapText="1"/>
    </xf>
    <xf numFmtId="0" fontId="5" fillId="0" borderId="0" xfId="7" applyFont="1" applyFill="1" applyBorder="1" applyAlignment="1">
      <alignment horizontal="left" vertical="top"/>
    </xf>
    <xf numFmtId="0" fontId="0" fillId="0" borderId="0" xfId="0" applyBorder="1" applyAlignment="1">
      <alignment horizontal="left" vertical="top" wrapText="1"/>
    </xf>
    <xf numFmtId="0" fontId="5" fillId="0" borderId="0" xfId="7" applyAlignment="1">
      <alignment horizontal="left"/>
    </xf>
    <xf numFmtId="0" fontId="5" fillId="0" borderId="0" xfId="7" applyAlignment="1">
      <alignment horizontal="center"/>
    </xf>
    <xf numFmtId="0" fontId="5" fillId="0" borderId="4" xfId="7" applyFill="1" applyBorder="1" applyAlignment="1">
      <alignment horizontal="center" vertical="top"/>
    </xf>
    <xf numFmtId="0" fontId="8" fillId="0" borderId="4" xfId="7" applyFont="1" applyFill="1" applyBorder="1" applyAlignment="1">
      <alignment horizontal="center" vertical="top"/>
    </xf>
    <xf numFmtId="0" fontId="8" fillId="0" borderId="1" xfId="7" applyFont="1" applyFill="1" applyBorder="1" applyAlignment="1">
      <alignment horizontal="center" vertical="top"/>
    </xf>
    <xf numFmtId="0" fontId="8" fillId="0" borderId="2" xfId="7" applyFont="1" applyFill="1" applyBorder="1" applyAlignment="1">
      <alignment horizontal="center" vertical="top"/>
    </xf>
    <xf numFmtId="0" fontId="8" fillId="0" borderId="3" xfId="7" applyFont="1" applyFill="1" applyBorder="1" applyAlignment="1">
      <alignment horizontal="center" vertical="top"/>
    </xf>
    <xf numFmtId="0" fontId="8" fillId="0" borderId="1" xfId="7" applyFont="1" applyBorder="1" applyAlignment="1">
      <alignment horizontal="center"/>
    </xf>
    <xf numFmtId="0" fontId="8" fillId="0" borderId="3" xfId="7" applyFont="1" applyBorder="1" applyAlignment="1">
      <alignment horizontal="center"/>
    </xf>
    <xf numFmtId="0" fontId="8" fillId="0" borderId="2" xfId="7" applyFont="1" applyBorder="1" applyAlignment="1">
      <alignment horizontal="center"/>
    </xf>
    <xf numFmtId="0" fontId="5" fillId="0" borderId="0" xfId="7" applyFill="1" applyBorder="1" applyAlignment="1">
      <alignment horizontal="left" vertical="top"/>
    </xf>
    <xf numFmtId="0" fontId="6" fillId="0" borderId="0" xfId="7" applyFont="1" applyAlignment="1">
      <alignment horizontal="left" wrapText="1"/>
    </xf>
    <xf numFmtId="0" fontId="6" fillId="0" borderId="0" xfId="7" applyFont="1" applyAlignment="1">
      <alignment horizontal="left"/>
    </xf>
    <xf numFmtId="0" fontId="7" fillId="0" borderId="0" xfId="7" applyFont="1" applyFill="1" applyBorder="1" applyAlignment="1">
      <alignment horizontal="left" vertical="top"/>
    </xf>
    <xf numFmtId="0" fontId="0" fillId="0" borderId="8" xfId="0" applyBorder="1" applyAlignment="1">
      <alignment horizontal="center" vertical="center" wrapText="1"/>
    </xf>
    <xf numFmtId="0" fontId="0" fillId="0" borderId="9" xfId="0" applyBorder="1" applyAlignment="1">
      <alignment horizontal="center" vertical="center" wrapText="1"/>
    </xf>
  </cellXfs>
  <cellStyles count="12">
    <cellStyle name="Comma" xfId="9" builtinId="3"/>
    <cellStyle name="Comma [0]" xfId="11" builtinId="6"/>
    <cellStyle name="Comma 2" xfId="2"/>
    <cellStyle name="Comma 3" xfId="3"/>
    <cellStyle name="Comma 3 2" xfId="4"/>
    <cellStyle name="Currency" xfId="1" builtinId="4"/>
    <cellStyle name="Currency 2" xfId="5"/>
    <cellStyle name="Normal" xfId="0" builtinId="0"/>
    <cellStyle name="Normal 2" xfId="6"/>
    <cellStyle name="Normal 3" xfId="7"/>
    <cellStyle name="Normal 3 2" xfId="8"/>
    <cellStyle name="Percent" xfId="10"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2.xml"/><Relationship Id="rId10" Type="http://schemas.openxmlformats.org/officeDocument/2006/relationships/customXml" Target="../customXml/item1.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1.BUDGET%20&amp;%20INCOME\11.%20GEF%20RIMBA%20&amp;%20MCAI\RIMBA%20DOCS%204_24_03_15\Co-Finance%20Per%20Componen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wb249524\WinRAR-HOLD\Rar$DI66.336\Appendix%202%20cofunding%20budget_1%20Dec-updated%2013.01.16_ED-%20adjuste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ew co-financing 7 Mar"/>
      <sheetName val="Sheet2"/>
      <sheetName val="Co template"/>
      <sheetName val="old co-financing"/>
      <sheetName val="Sheet3"/>
    </sheetNames>
    <sheetDataSet>
      <sheetData sheetId="0">
        <row r="4">
          <cell r="B4" t="str">
            <v>Min of Agraria and Spatial Planning</v>
          </cell>
        </row>
      </sheetData>
      <sheetData sheetId="1">
        <row r="19">
          <cell r="F19">
            <v>500000</v>
          </cell>
        </row>
        <row r="20">
          <cell r="F20">
            <v>5906249</v>
          </cell>
        </row>
        <row r="21">
          <cell r="E21">
            <v>1890219</v>
          </cell>
        </row>
        <row r="27">
          <cell r="E27">
            <v>1212308</v>
          </cell>
          <cell r="F27">
            <v>528923</v>
          </cell>
        </row>
        <row r="41">
          <cell r="E41">
            <v>45581559</v>
          </cell>
        </row>
      </sheetData>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ppendix 2 Co-finance"/>
      <sheetName val="Sheet1"/>
      <sheetName val="WS"/>
    </sheetNames>
    <sheetDataSet>
      <sheetData sheetId="0"/>
      <sheetData sheetId="1"/>
      <sheetData sheetId="2">
        <row r="8">
          <cell r="B8" t="str">
            <v>BAPEDDA Jambi Province</v>
          </cell>
        </row>
        <row r="9">
          <cell r="B9" t="str">
            <v>BAPEDDA Riau Province</v>
          </cell>
        </row>
        <row r="10">
          <cell r="B10" t="str">
            <v>BAPEDDA Sumatera Barat Province</v>
          </cell>
        </row>
        <row r="11">
          <cell r="B11" t="str">
            <v>WWF</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CT191"/>
  <sheetViews>
    <sheetView tabSelected="1" topLeftCell="A7" zoomScale="75" zoomScaleNormal="75" workbookViewId="0">
      <pane xSplit="2" ySplit="1" topLeftCell="C8" activePane="bottomRight" state="frozen"/>
      <selection activeCell="A7" sqref="A7"/>
      <selection pane="topRight" activeCell="C7" sqref="C7"/>
      <selection pane="bottomLeft" activeCell="A8" sqref="A8"/>
      <selection pane="bottomRight" activeCell="C164" sqref="C164:E164"/>
    </sheetView>
  </sheetViews>
  <sheetFormatPr defaultColWidth="9.140625" defaultRowHeight="15" x14ac:dyDescent="0.25"/>
  <cols>
    <col min="1" max="1" width="7.85546875" style="1" customWidth="1"/>
    <col min="2" max="2" width="64.28515625" style="2" customWidth="1"/>
    <col min="3" max="3" width="17.140625" style="2" customWidth="1"/>
    <col min="4" max="4" width="19.42578125" style="2" customWidth="1"/>
    <col min="5" max="5" width="17.85546875" style="2" customWidth="1"/>
    <col min="6" max="6" width="17.140625" style="2" customWidth="1"/>
    <col min="7" max="7" width="15.85546875" style="2" customWidth="1"/>
    <col min="8" max="8" width="17.140625" style="2" customWidth="1"/>
    <col min="9" max="9" width="19.5703125" style="2" customWidth="1"/>
    <col min="10" max="10" width="18.28515625" style="2" customWidth="1"/>
    <col min="11" max="13" width="20.42578125" style="2" customWidth="1"/>
    <col min="14" max="14" width="20.28515625" style="2" customWidth="1"/>
    <col min="15" max="15" width="13.85546875" style="2" customWidth="1"/>
    <col min="16" max="16" width="23.42578125" style="2" customWidth="1"/>
    <col min="17" max="17" width="13.85546875" style="2" customWidth="1"/>
    <col min="18" max="18" width="27" style="2" customWidth="1"/>
    <col min="19" max="19" width="28" style="2" customWidth="1"/>
    <col min="20" max="20" width="25.5703125" style="2" customWidth="1"/>
    <col min="21" max="21" width="29.85546875" style="2" customWidth="1"/>
    <col min="22" max="22" width="39.140625" style="2" customWidth="1"/>
    <col min="23" max="16384" width="9.140625" style="2"/>
  </cols>
  <sheetData>
    <row r="1" spans="1:98" s="38" customFormat="1" ht="15.75" x14ac:dyDescent="0.25">
      <c r="A1" s="288" t="s">
        <v>18</v>
      </c>
      <c r="B1" s="288"/>
      <c r="C1" s="288"/>
      <c r="D1" s="288" t="s">
        <v>45</v>
      </c>
      <c r="E1" s="288"/>
      <c r="F1" s="288"/>
      <c r="G1" s="288"/>
      <c r="H1" s="288"/>
      <c r="I1" s="288"/>
      <c r="J1" s="288"/>
      <c r="K1" s="288"/>
      <c r="L1" s="288"/>
      <c r="M1" s="288"/>
      <c r="N1" s="288"/>
      <c r="O1" s="288"/>
      <c r="P1" s="288"/>
      <c r="Q1" s="288"/>
      <c r="R1" s="288"/>
      <c r="S1" s="288"/>
      <c r="T1" s="288"/>
      <c r="U1" s="288"/>
      <c r="V1" s="288"/>
      <c r="W1" s="288"/>
      <c r="X1" s="288"/>
      <c r="Y1" s="288"/>
      <c r="Z1" s="288"/>
      <c r="AA1" s="288"/>
      <c r="AB1" s="288"/>
      <c r="AC1" s="288"/>
      <c r="AD1" s="288"/>
      <c r="AE1" s="288"/>
      <c r="AF1" s="288"/>
      <c r="AG1" s="288"/>
      <c r="AH1" s="288"/>
      <c r="AI1" s="288"/>
      <c r="AJ1" s="288"/>
      <c r="AK1" s="288"/>
      <c r="AL1" s="288"/>
      <c r="AM1" s="288"/>
      <c r="AN1" s="288"/>
      <c r="AO1" s="288"/>
      <c r="AP1" s="288"/>
      <c r="AQ1" s="288"/>
      <c r="AR1" s="288"/>
      <c r="AS1" s="288"/>
      <c r="AT1" s="288"/>
      <c r="AU1" s="288"/>
      <c r="AV1" s="288"/>
      <c r="AW1" s="288"/>
      <c r="AX1" s="288"/>
      <c r="AY1" s="288"/>
      <c r="AZ1" s="288"/>
      <c r="BA1" s="288"/>
      <c r="BB1" s="288"/>
      <c r="BC1" s="288"/>
      <c r="BD1" s="288"/>
      <c r="BE1" s="288"/>
      <c r="BF1" s="288"/>
      <c r="BG1" s="288"/>
      <c r="BH1" s="288"/>
      <c r="BI1" s="288"/>
      <c r="BJ1" s="288"/>
      <c r="BK1" s="288"/>
      <c r="BL1" s="288"/>
      <c r="BM1" s="288"/>
      <c r="BN1" s="288"/>
      <c r="BO1" s="288"/>
      <c r="BP1" s="288"/>
      <c r="BQ1" s="288"/>
      <c r="BR1" s="288"/>
      <c r="BS1" s="288"/>
      <c r="BT1" s="288"/>
      <c r="BU1" s="288"/>
      <c r="BV1" s="288"/>
      <c r="BW1" s="288"/>
      <c r="BX1" s="288"/>
      <c r="BY1" s="288"/>
      <c r="BZ1" s="288"/>
      <c r="CA1" s="288"/>
      <c r="CB1" s="288"/>
      <c r="CC1" s="288"/>
      <c r="CD1" s="288"/>
      <c r="CE1" s="288"/>
      <c r="CF1" s="288"/>
      <c r="CG1" s="288"/>
      <c r="CH1" s="288"/>
      <c r="CI1" s="288"/>
      <c r="CJ1" s="288"/>
      <c r="CK1" s="288"/>
      <c r="CL1" s="288"/>
      <c r="CM1" s="288"/>
      <c r="CN1" s="288"/>
      <c r="CO1" s="288"/>
      <c r="CP1" s="288"/>
      <c r="CQ1" s="288"/>
      <c r="CR1" s="288"/>
      <c r="CS1" s="288"/>
      <c r="CT1" s="288"/>
    </row>
    <row r="2" spans="1:98" s="38" customFormat="1" ht="15.75" x14ac:dyDescent="0.25">
      <c r="A2" s="288" t="s">
        <v>19</v>
      </c>
      <c r="B2" s="288"/>
      <c r="C2" s="288"/>
      <c r="D2" s="289" t="s">
        <v>46</v>
      </c>
      <c r="E2" s="289"/>
      <c r="F2" s="289"/>
      <c r="G2" s="289"/>
      <c r="H2" s="289"/>
      <c r="I2" s="289"/>
      <c r="J2" s="289"/>
      <c r="K2" s="289"/>
      <c r="L2" s="289"/>
      <c r="M2" s="289"/>
      <c r="N2" s="289"/>
      <c r="O2" s="289"/>
      <c r="P2" s="289"/>
      <c r="Q2" s="289"/>
      <c r="R2" s="289"/>
      <c r="S2" s="289"/>
      <c r="T2" s="289"/>
      <c r="U2" s="289"/>
      <c r="V2" s="289"/>
      <c r="W2" s="289"/>
      <c r="X2" s="289"/>
      <c r="Y2" s="289"/>
      <c r="Z2" s="289"/>
      <c r="AA2" s="289"/>
      <c r="AB2" s="289"/>
      <c r="AC2" s="289"/>
      <c r="AD2" s="289"/>
      <c r="AE2" s="289"/>
      <c r="AF2" s="289"/>
      <c r="AG2" s="289"/>
      <c r="AH2" s="289"/>
      <c r="AI2" s="289"/>
      <c r="AJ2" s="289"/>
      <c r="AK2" s="289"/>
      <c r="AL2" s="289"/>
      <c r="AM2" s="289"/>
      <c r="AN2" s="289"/>
      <c r="AO2" s="289"/>
      <c r="AP2" s="289"/>
      <c r="AQ2" s="289"/>
      <c r="AR2" s="289"/>
      <c r="AS2" s="289"/>
      <c r="AT2" s="289"/>
      <c r="AU2" s="289"/>
      <c r="AV2" s="289"/>
      <c r="AW2" s="289"/>
      <c r="AX2" s="289"/>
      <c r="AY2" s="289"/>
      <c r="AZ2" s="289"/>
      <c r="BA2" s="289"/>
      <c r="BB2" s="289"/>
      <c r="BC2" s="289"/>
      <c r="BD2" s="289"/>
      <c r="BE2" s="289"/>
      <c r="BF2" s="289"/>
      <c r="BG2" s="289"/>
      <c r="BH2" s="289"/>
      <c r="BI2" s="289"/>
      <c r="BJ2" s="289"/>
      <c r="BK2" s="289"/>
      <c r="BL2" s="289"/>
      <c r="BM2" s="289"/>
      <c r="BN2" s="289"/>
      <c r="BO2" s="289"/>
      <c r="BP2" s="289"/>
      <c r="BQ2" s="289"/>
      <c r="BR2" s="289"/>
      <c r="BS2" s="289"/>
      <c r="BT2" s="289"/>
      <c r="BU2" s="289"/>
      <c r="BV2" s="289"/>
      <c r="BW2" s="289"/>
      <c r="BX2" s="289"/>
      <c r="BY2" s="289"/>
      <c r="BZ2" s="289"/>
      <c r="CA2" s="289"/>
      <c r="CB2" s="289"/>
      <c r="CC2" s="289"/>
      <c r="CD2" s="289"/>
      <c r="CE2" s="289"/>
      <c r="CF2" s="289"/>
      <c r="CG2" s="289"/>
      <c r="CH2" s="289"/>
      <c r="CI2" s="289"/>
      <c r="CJ2" s="289"/>
      <c r="CK2" s="289"/>
      <c r="CL2" s="289"/>
      <c r="CM2" s="289"/>
      <c r="CN2" s="289"/>
      <c r="CO2" s="289"/>
      <c r="CP2" s="289"/>
      <c r="CQ2" s="289"/>
      <c r="CR2" s="289"/>
      <c r="CS2" s="289"/>
      <c r="CT2" s="289"/>
    </row>
    <row r="3" spans="1:98" s="38" customFormat="1" ht="15.75" x14ac:dyDescent="0.25">
      <c r="A3" s="39" t="s">
        <v>39</v>
      </c>
      <c r="B3" s="39"/>
      <c r="C3" s="39"/>
      <c r="D3" s="288" t="s">
        <v>46</v>
      </c>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8"/>
      <c r="BQ3" s="288"/>
      <c r="BR3" s="288"/>
      <c r="BS3" s="288"/>
      <c r="BT3" s="288"/>
      <c r="BU3" s="288"/>
      <c r="BV3" s="288"/>
      <c r="BW3" s="288"/>
      <c r="BX3" s="288"/>
      <c r="BY3" s="288"/>
      <c r="BZ3" s="288"/>
      <c r="CA3" s="288"/>
      <c r="CB3" s="288"/>
      <c r="CC3" s="288"/>
      <c r="CD3" s="288"/>
      <c r="CE3" s="288"/>
      <c r="CF3" s="288"/>
      <c r="CG3" s="288"/>
      <c r="CH3" s="288"/>
      <c r="CI3" s="288"/>
      <c r="CJ3" s="288"/>
      <c r="CK3" s="288"/>
      <c r="CL3" s="288"/>
      <c r="CM3" s="288"/>
      <c r="CN3" s="288"/>
      <c r="CO3" s="288"/>
      <c r="CP3" s="288"/>
      <c r="CQ3" s="288"/>
      <c r="CR3" s="288"/>
      <c r="CS3" s="288"/>
      <c r="CT3" s="288"/>
    </row>
    <row r="4" spans="1:98" s="38" customFormat="1" ht="16.899999999999999" customHeight="1" x14ac:dyDescent="0.25">
      <c r="A4" s="288" t="s">
        <v>40</v>
      </c>
      <c r="B4" s="288"/>
      <c r="C4" s="288"/>
      <c r="D4" s="290" t="s">
        <v>69</v>
      </c>
      <c r="E4" s="290"/>
    </row>
    <row r="5" spans="1:98" s="38" customFormat="1" ht="16.899999999999999" customHeight="1" x14ac:dyDescent="0.25">
      <c r="A5" s="41"/>
      <c r="B5" s="41"/>
      <c r="C5" s="41"/>
      <c r="D5" s="42"/>
      <c r="E5" s="42"/>
    </row>
    <row r="6" spans="1:98" ht="15.75" thickBot="1" x14ac:dyDescent="0.3">
      <c r="H6" s="2" t="s">
        <v>1</v>
      </c>
    </row>
    <row r="7" spans="1:98" ht="60" x14ac:dyDescent="0.25">
      <c r="A7" s="138" t="s">
        <v>2</v>
      </c>
      <c r="B7" s="139" t="s">
        <v>3</v>
      </c>
      <c r="C7" s="286" t="s">
        <v>0</v>
      </c>
      <c r="D7" s="287"/>
      <c r="E7" s="287"/>
      <c r="F7" s="287"/>
      <c r="G7" s="153"/>
      <c r="H7" s="151" t="s">
        <v>4</v>
      </c>
      <c r="I7" s="140" t="s">
        <v>5</v>
      </c>
      <c r="J7" s="140" t="s">
        <v>6</v>
      </c>
      <c r="K7" s="140" t="s">
        <v>7</v>
      </c>
      <c r="L7" s="140" t="s">
        <v>44</v>
      </c>
      <c r="M7" s="140" t="s">
        <v>70</v>
      </c>
      <c r="N7" s="141" t="s">
        <v>10</v>
      </c>
    </row>
    <row r="8" spans="1:98" ht="137.25" customHeight="1" x14ac:dyDescent="0.25">
      <c r="A8" s="142"/>
      <c r="B8" s="98"/>
      <c r="C8" s="106" t="s">
        <v>41</v>
      </c>
      <c r="D8" s="40" t="s">
        <v>42</v>
      </c>
      <c r="E8" s="40" t="s">
        <v>43</v>
      </c>
      <c r="F8" s="97" t="s">
        <v>103</v>
      </c>
      <c r="G8" s="154" t="s">
        <v>8</v>
      </c>
      <c r="H8" s="152"/>
      <c r="I8" s="5"/>
      <c r="J8" s="5"/>
      <c r="K8" s="5"/>
      <c r="L8" s="5"/>
      <c r="M8" s="5"/>
      <c r="N8" s="143"/>
    </row>
    <row r="9" spans="1:98" x14ac:dyDescent="0.25">
      <c r="A9" s="144">
        <v>1100</v>
      </c>
      <c r="B9" s="113" t="s">
        <v>185</v>
      </c>
      <c r="C9" s="155"/>
      <c r="D9" s="129"/>
      <c r="E9" s="129"/>
      <c r="F9" s="156"/>
      <c r="G9" s="172"/>
      <c r="H9" s="157"/>
      <c r="I9" s="129"/>
      <c r="J9" s="129"/>
      <c r="K9" s="129"/>
      <c r="L9" s="129"/>
      <c r="M9" s="129"/>
      <c r="N9" s="158"/>
    </row>
    <row r="10" spans="1:98" x14ac:dyDescent="0.25">
      <c r="A10" s="144">
        <f>A9+1</f>
        <v>1101</v>
      </c>
      <c r="B10" s="99" t="s">
        <v>210</v>
      </c>
      <c r="C10" s="159">
        <v>60000</v>
      </c>
      <c r="D10" s="130">
        <v>90000</v>
      </c>
      <c r="E10" s="130">
        <v>26326</v>
      </c>
      <c r="F10" s="160"/>
      <c r="G10" s="165">
        <f>SUM(C10:F10)</f>
        <v>176326</v>
      </c>
      <c r="H10" s="161">
        <f>(13*3889)/2</f>
        <v>25278.5</v>
      </c>
      <c r="I10" s="162">
        <f>H10*1.06</f>
        <v>26795.210000000003</v>
      </c>
      <c r="J10" s="162">
        <f>I10*1.06</f>
        <v>28402.922600000005</v>
      </c>
      <c r="K10" s="162">
        <f t="shared" ref="K10:M10" si="0">J10*1.06</f>
        <v>30107.097956000009</v>
      </c>
      <c r="L10" s="162">
        <f t="shared" si="0"/>
        <v>31913.52383336001</v>
      </c>
      <c r="M10" s="162">
        <f t="shared" si="0"/>
        <v>33828.335263361616</v>
      </c>
      <c r="N10" s="163">
        <f t="shared" ref="N10:N16" si="1">SUM(H10:M10)</f>
        <v>176325.58965272165</v>
      </c>
      <c r="O10" s="135"/>
    </row>
    <row r="11" spans="1:98" x14ac:dyDescent="0.25">
      <c r="A11" s="144">
        <f t="shared" ref="A11:A16" si="2">A10+1</f>
        <v>1102</v>
      </c>
      <c r="B11" s="99" t="s">
        <v>212</v>
      </c>
      <c r="C11" s="159">
        <v>40000</v>
      </c>
      <c r="D11" s="130">
        <v>200000</v>
      </c>
      <c r="E11" s="130">
        <v>46909</v>
      </c>
      <c r="F11" s="160"/>
      <c r="G11" s="165">
        <f>SUM(C11:F11)</f>
        <v>286909</v>
      </c>
      <c r="H11" s="161">
        <f>(13*3889)</f>
        <v>50557</v>
      </c>
      <c r="I11" s="162">
        <f>H11*1.06</f>
        <v>53590.420000000006</v>
      </c>
      <c r="J11" s="162">
        <f t="shared" ref="J11:M11" si="3">I11*1.06</f>
        <v>56805.845200000011</v>
      </c>
      <c r="K11" s="162">
        <f t="shared" si="3"/>
        <v>60214.195912000017</v>
      </c>
      <c r="L11" s="162">
        <f>(K11*1.06)*0.5</f>
        <v>31913.52383336001</v>
      </c>
      <c r="M11" s="162">
        <f t="shared" si="3"/>
        <v>33828.335263361616</v>
      </c>
      <c r="N11" s="163">
        <f t="shared" si="1"/>
        <v>286909.32020872168</v>
      </c>
      <c r="O11" s="135"/>
    </row>
    <row r="12" spans="1:98" x14ac:dyDescent="0.25">
      <c r="A12" s="144">
        <f t="shared" si="2"/>
        <v>1103</v>
      </c>
      <c r="B12" s="99" t="s">
        <v>228</v>
      </c>
      <c r="C12" s="159">
        <v>181111</v>
      </c>
      <c r="D12" s="130">
        <v>591889</v>
      </c>
      <c r="E12" s="130">
        <v>148468</v>
      </c>
      <c r="F12" s="160"/>
      <c r="G12" s="165">
        <f>SUM(C12:F12)</f>
        <v>921468</v>
      </c>
      <c r="H12" s="281">
        <v>190000</v>
      </c>
      <c r="I12" s="281">
        <f>H12*1.02</f>
        <v>193800</v>
      </c>
      <c r="J12" s="281">
        <f t="shared" ref="J12:K12" si="4">I12*1.02</f>
        <v>197676</v>
      </c>
      <c r="K12" s="281">
        <f t="shared" si="4"/>
        <v>201629.52</v>
      </c>
      <c r="L12" s="281">
        <f>(K12*1.02)*(6/12)</f>
        <v>102831.0552</v>
      </c>
      <c r="M12" s="281">
        <f>((L12*1.02)*(3/9))+569</f>
        <v>35531.558768000003</v>
      </c>
      <c r="N12" s="164">
        <f>SUM(H12:M12)</f>
        <v>921468.13396800007</v>
      </c>
      <c r="O12" s="214"/>
    </row>
    <row r="13" spans="1:98" x14ac:dyDescent="0.25">
      <c r="A13" s="144">
        <f t="shared" si="2"/>
        <v>1104</v>
      </c>
      <c r="B13" s="99" t="s">
        <v>229</v>
      </c>
      <c r="C13" s="159">
        <v>0</v>
      </c>
      <c r="D13" s="130">
        <v>0</v>
      </c>
      <c r="E13" s="130">
        <v>0</v>
      </c>
      <c r="F13" s="160">
        <v>0</v>
      </c>
      <c r="G13" s="165">
        <f>SUM(C13:F13)</f>
        <v>0</v>
      </c>
      <c r="H13" s="161">
        <v>0</v>
      </c>
      <c r="I13" s="162">
        <v>0</v>
      </c>
      <c r="J13" s="162">
        <f t="shared" ref="I13:M14" si="5">I13*1.06</f>
        <v>0</v>
      </c>
      <c r="K13" s="162">
        <f t="shared" si="5"/>
        <v>0</v>
      </c>
      <c r="L13" s="162">
        <f t="shared" si="5"/>
        <v>0</v>
      </c>
      <c r="M13" s="162">
        <f t="shared" si="5"/>
        <v>0</v>
      </c>
      <c r="N13" s="163">
        <f t="shared" si="1"/>
        <v>0</v>
      </c>
      <c r="O13" s="135"/>
    </row>
    <row r="14" spans="1:98" x14ac:dyDescent="0.25">
      <c r="A14" s="144">
        <f t="shared" si="2"/>
        <v>1105</v>
      </c>
      <c r="B14" s="99" t="s">
        <v>104</v>
      </c>
      <c r="C14" s="159">
        <v>0</v>
      </c>
      <c r="D14" s="130">
        <v>0</v>
      </c>
      <c r="E14" s="130">
        <v>0</v>
      </c>
      <c r="F14" s="160">
        <v>0</v>
      </c>
      <c r="G14" s="165">
        <f t="shared" ref="G14:G16" si="6">SUM(C14:F14)</f>
        <v>0</v>
      </c>
      <c r="H14" s="161">
        <v>0</v>
      </c>
      <c r="I14" s="162">
        <f t="shared" si="5"/>
        <v>0</v>
      </c>
      <c r="J14" s="162">
        <f t="shared" si="5"/>
        <v>0</v>
      </c>
      <c r="K14" s="162">
        <f t="shared" si="5"/>
        <v>0</v>
      </c>
      <c r="L14" s="162">
        <f t="shared" si="5"/>
        <v>0</v>
      </c>
      <c r="M14" s="162">
        <f t="shared" si="5"/>
        <v>0</v>
      </c>
      <c r="N14" s="163">
        <f t="shared" si="1"/>
        <v>0</v>
      </c>
      <c r="O14" s="135"/>
    </row>
    <row r="15" spans="1:98" x14ac:dyDescent="0.25">
      <c r="A15" s="144">
        <f t="shared" si="2"/>
        <v>1106</v>
      </c>
      <c r="B15" s="99" t="s">
        <v>205</v>
      </c>
      <c r="C15" s="159">
        <v>0</v>
      </c>
      <c r="D15" s="130">
        <v>452789</v>
      </c>
      <c r="E15" s="130">
        <v>0</v>
      </c>
      <c r="F15" s="160"/>
      <c r="G15" s="165">
        <f t="shared" si="6"/>
        <v>452789</v>
      </c>
      <c r="H15" s="161">
        <v>70000</v>
      </c>
      <c r="I15" s="162">
        <f t="shared" ref="I15:M16" si="7">H15*1.03</f>
        <v>72100</v>
      </c>
      <c r="J15" s="162">
        <f t="shared" si="7"/>
        <v>74263</v>
      </c>
      <c r="K15" s="162">
        <f t="shared" si="7"/>
        <v>76490.89</v>
      </c>
      <c r="L15" s="162">
        <f t="shared" si="7"/>
        <v>78785.616699999999</v>
      </c>
      <c r="M15" s="162">
        <f t="shared" si="7"/>
        <v>81149.185201</v>
      </c>
      <c r="N15" s="163">
        <f>(SUM(H15:M15))+1-0.09</f>
        <v>452789.60190100002</v>
      </c>
      <c r="O15" s="135"/>
    </row>
    <row r="16" spans="1:98" x14ac:dyDescent="0.25">
      <c r="A16" s="144">
        <f t="shared" si="2"/>
        <v>1107</v>
      </c>
      <c r="B16" s="99" t="s">
        <v>206</v>
      </c>
      <c r="C16" s="159">
        <v>0</v>
      </c>
      <c r="D16" s="130">
        <v>0</v>
      </c>
      <c r="E16" s="130">
        <v>0</v>
      </c>
      <c r="F16" s="160"/>
      <c r="G16" s="165">
        <f t="shared" si="6"/>
        <v>0</v>
      </c>
      <c r="H16" s="161"/>
      <c r="I16" s="162">
        <f t="shared" si="7"/>
        <v>0</v>
      </c>
      <c r="J16" s="162">
        <f t="shared" si="7"/>
        <v>0</v>
      </c>
      <c r="K16" s="162">
        <f t="shared" si="7"/>
        <v>0</v>
      </c>
      <c r="L16" s="162">
        <f t="shared" si="7"/>
        <v>0</v>
      </c>
      <c r="M16" s="162">
        <f t="shared" si="7"/>
        <v>0</v>
      </c>
      <c r="N16" s="164">
        <f t="shared" si="1"/>
        <v>0</v>
      </c>
      <c r="O16" s="135"/>
    </row>
    <row r="17" spans="1:15" x14ac:dyDescent="0.25">
      <c r="A17" s="144"/>
      <c r="B17" s="100"/>
      <c r="C17" s="159"/>
      <c r="D17" s="130"/>
      <c r="E17" s="130"/>
      <c r="F17" s="160"/>
      <c r="G17" s="165"/>
      <c r="H17" s="166"/>
      <c r="I17" s="167"/>
      <c r="J17" s="167"/>
      <c r="K17" s="167"/>
      <c r="L17" s="167"/>
      <c r="M17" s="167"/>
      <c r="N17" s="164"/>
    </row>
    <row r="18" spans="1:15" x14ac:dyDescent="0.25">
      <c r="A18" s="145">
        <v>1199</v>
      </c>
      <c r="B18" s="101" t="s">
        <v>10</v>
      </c>
      <c r="C18" s="168">
        <f t="shared" ref="C18:M18" si="8">SUM(C10:C17)</f>
        <v>281111</v>
      </c>
      <c r="D18" s="132">
        <f t="shared" si="8"/>
        <v>1334678</v>
      </c>
      <c r="E18" s="132">
        <f t="shared" si="8"/>
        <v>221703</v>
      </c>
      <c r="F18" s="169">
        <f t="shared" si="8"/>
        <v>0</v>
      </c>
      <c r="G18" s="219">
        <f>SUM(G10:G16)</f>
        <v>1837492</v>
      </c>
      <c r="H18" s="170">
        <f t="shared" si="8"/>
        <v>335835.5</v>
      </c>
      <c r="I18" s="171">
        <f t="shared" si="8"/>
        <v>346285.63</v>
      </c>
      <c r="J18" s="171">
        <f t="shared" si="8"/>
        <v>357147.76780000003</v>
      </c>
      <c r="K18" s="171">
        <f t="shared" si="8"/>
        <v>368441.70386800001</v>
      </c>
      <c r="L18" s="171">
        <f t="shared" si="8"/>
        <v>245443.71956672001</v>
      </c>
      <c r="M18" s="171">
        <f t="shared" si="8"/>
        <v>184337.41449572323</v>
      </c>
      <c r="N18" s="222">
        <f>SUM(N10:N16)</f>
        <v>1837492.6457304433</v>
      </c>
      <c r="O18" s="35"/>
    </row>
    <row r="19" spans="1:15" x14ac:dyDescent="0.25">
      <c r="A19" s="144">
        <v>1200</v>
      </c>
      <c r="B19" s="113" t="s">
        <v>186</v>
      </c>
      <c r="C19" s="155"/>
      <c r="D19" s="129"/>
      <c r="E19" s="129"/>
      <c r="F19" s="156"/>
      <c r="G19" s="172"/>
      <c r="H19" s="173"/>
      <c r="I19" s="174"/>
      <c r="J19" s="174"/>
      <c r="K19" s="174"/>
      <c r="L19" s="174"/>
      <c r="M19" s="174"/>
      <c r="N19" s="175"/>
    </row>
    <row r="20" spans="1:15" x14ac:dyDescent="0.25">
      <c r="A20" s="144">
        <f>A19+1</f>
        <v>1201</v>
      </c>
      <c r="B20" s="128" t="s">
        <v>211</v>
      </c>
      <c r="C20" s="159">
        <v>10000</v>
      </c>
      <c r="D20" s="130">
        <v>110000</v>
      </c>
      <c r="E20" s="130">
        <v>10000</v>
      </c>
      <c r="F20" s="160"/>
      <c r="G20" s="165">
        <f t="shared" ref="G20:G29" si="9">SUM(C20:F20)</f>
        <v>130000</v>
      </c>
      <c r="H20" s="157">
        <f>G20*5/26</f>
        <v>25000</v>
      </c>
      <c r="I20" s="129">
        <f>G20*5/26</f>
        <v>25000</v>
      </c>
      <c r="J20" s="129">
        <f>G20*4/26</f>
        <v>20000</v>
      </c>
      <c r="K20" s="129">
        <f>G20*4/26</f>
        <v>20000</v>
      </c>
      <c r="L20" s="129">
        <f>G20*4/26</f>
        <v>20000</v>
      </c>
      <c r="M20" s="241">
        <f>G20*4/26</f>
        <v>20000</v>
      </c>
      <c r="N20" s="242">
        <f>SUM(H20:M20)</f>
        <v>130000</v>
      </c>
    </row>
    <row r="21" spans="1:15" x14ac:dyDescent="0.25">
      <c r="A21" s="144">
        <f t="shared" ref="A21:A29" si="10">A20+1</f>
        <v>1202</v>
      </c>
      <c r="B21" s="128" t="s">
        <v>115</v>
      </c>
      <c r="C21" s="159">
        <v>10000</v>
      </c>
      <c r="D21" s="130">
        <v>105000</v>
      </c>
      <c r="E21" s="130">
        <v>80000</v>
      </c>
      <c r="F21" s="160"/>
      <c r="G21" s="165">
        <f t="shared" si="9"/>
        <v>195000</v>
      </c>
      <c r="H21" s="243">
        <f>G21*3/13</f>
        <v>45000</v>
      </c>
      <c r="I21" s="244">
        <f>G21*2/13</f>
        <v>30000</v>
      </c>
      <c r="J21" s="244">
        <f>G21*2/13</f>
        <v>30000</v>
      </c>
      <c r="K21" s="244">
        <f>G21*2/13</f>
        <v>30000</v>
      </c>
      <c r="L21" s="244">
        <f>G21*2/13</f>
        <v>30000</v>
      </c>
      <c r="M21" s="244">
        <f>G21*2/13</f>
        <v>30000</v>
      </c>
      <c r="N21" s="177">
        <f t="shared" ref="N21:N29" si="11">SUM(H21:M21)</f>
        <v>195000</v>
      </c>
    </row>
    <row r="22" spans="1:15" x14ac:dyDescent="0.25">
      <c r="A22" s="144">
        <f t="shared" si="10"/>
        <v>1203</v>
      </c>
      <c r="B22" s="128" t="s">
        <v>111</v>
      </c>
      <c r="C22" s="159">
        <v>200000</v>
      </c>
      <c r="D22" s="130">
        <v>140000</v>
      </c>
      <c r="E22" s="130">
        <v>20000</v>
      </c>
      <c r="F22" s="160"/>
      <c r="G22" s="165">
        <f t="shared" si="9"/>
        <v>360000</v>
      </c>
      <c r="H22" s="243">
        <f>G22*9/24</f>
        <v>135000</v>
      </c>
      <c r="I22" s="244">
        <f>G22*9/24</f>
        <v>135000</v>
      </c>
      <c r="J22" s="244">
        <f>G22*2/24</f>
        <v>30000</v>
      </c>
      <c r="K22" s="244">
        <f>G22*2/24</f>
        <v>30000</v>
      </c>
      <c r="L22" s="244">
        <f>G22*2/24</f>
        <v>30000</v>
      </c>
      <c r="M22" s="244"/>
      <c r="N22" s="177">
        <f t="shared" si="11"/>
        <v>360000</v>
      </c>
    </row>
    <row r="23" spans="1:15" x14ac:dyDescent="0.25">
      <c r="A23" s="144">
        <f t="shared" si="10"/>
        <v>1204</v>
      </c>
      <c r="B23" s="128" t="s">
        <v>112</v>
      </c>
      <c r="C23" s="159"/>
      <c r="D23" s="130">
        <v>60000</v>
      </c>
      <c r="E23" s="130"/>
      <c r="F23" s="160"/>
      <c r="G23" s="165">
        <f t="shared" si="9"/>
        <v>60000</v>
      </c>
      <c r="H23" s="243"/>
      <c r="I23" s="244">
        <f>G23*4/12</f>
        <v>20000</v>
      </c>
      <c r="J23" s="244">
        <f>G23*3/12</f>
        <v>15000</v>
      </c>
      <c r="K23" s="244">
        <f>G23*3/12</f>
        <v>15000</v>
      </c>
      <c r="L23" s="244">
        <f>G23*2/12</f>
        <v>10000</v>
      </c>
      <c r="M23" s="244"/>
      <c r="N23" s="177">
        <f t="shared" si="11"/>
        <v>60000</v>
      </c>
    </row>
    <row r="24" spans="1:15" x14ac:dyDescent="0.25">
      <c r="A24" s="144">
        <f>A23+1</f>
        <v>1205</v>
      </c>
      <c r="B24" s="128" t="s">
        <v>117</v>
      </c>
      <c r="C24" s="159"/>
      <c r="D24" s="130">
        <v>60000</v>
      </c>
      <c r="E24" s="130"/>
      <c r="F24" s="160"/>
      <c r="G24" s="165">
        <f t="shared" si="9"/>
        <v>60000</v>
      </c>
      <c r="H24" s="243"/>
      <c r="I24" s="244">
        <f>G24*3/4</f>
        <v>45000</v>
      </c>
      <c r="J24" s="244">
        <f>G24/4</f>
        <v>15000</v>
      </c>
      <c r="K24" s="244"/>
      <c r="L24" s="244"/>
      <c r="M24" s="244"/>
      <c r="N24" s="177">
        <f t="shared" si="11"/>
        <v>60000</v>
      </c>
    </row>
    <row r="25" spans="1:15" x14ac:dyDescent="0.25">
      <c r="A25" s="144">
        <f t="shared" si="10"/>
        <v>1206</v>
      </c>
      <c r="B25" s="128" t="s">
        <v>118</v>
      </c>
      <c r="C25" s="159">
        <v>75000</v>
      </c>
      <c r="D25" s="130"/>
      <c r="E25" s="130"/>
      <c r="F25" s="160"/>
      <c r="G25" s="165">
        <f t="shared" si="9"/>
        <v>75000</v>
      </c>
      <c r="H25" s="243">
        <f>G25*4/5</f>
        <v>60000</v>
      </c>
      <c r="I25" s="244">
        <f>G25/5</f>
        <v>15000</v>
      </c>
      <c r="J25" s="244"/>
      <c r="K25" s="244"/>
      <c r="L25" s="244"/>
      <c r="M25" s="244"/>
      <c r="N25" s="177">
        <f t="shared" si="11"/>
        <v>75000</v>
      </c>
    </row>
    <row r="26" spans="1:15" x14ac:dyDescent="0.25">
      <c r="A26" s="144">
        <f t="shared" si="10"/>
        <v>1207</v>
      </c>
      <c r="B26" s="128" t="s">
        <v>203</v>
      </c>
      <c r="C26" s="159">
        <v>50000</v>
      </c>
      <c r="D26" s="130"/>
      <c r="E26" s="130"/>
      <c r="F26" s="160"/>
      <c r="G26" s="165">
        <f t="shared" si="9"/>
        <v>50000</v>
      </c>
      <c r="H26" s="243">
        <f>G26*6/10</f>
        <v>30000</v>
      </c>
      <c r="I26" s="244">
        <f>G26*4/10</f>
        <v>20000</v>
      </c>
      <c r="J26" s="244"/>
      <c r="K26" s="244"/>
      <c r="L26" s="244"/>
      <c r="M26" s="244"/>
      <c r="N26" s="177">
        <f t="shared" si="11"/>
        <v>50000</v>
      </c>
    </row>
    <row r="27" spans="1:15" ht="30" x14ac:dyDescent="0.25">
      <c r="A27" s="144">
        <f t="shared" si="10"/>
        <v>1208</v>
      </c>
      <c r="B27" s="128" t="s">
        <v>116</v>
      </c>
      <c r="C27" s="159"/>
      <c r="D27" s="130">
        <v>60000</v>
      </c>
      <c r="E27" s="130"/>
      <c r="F27" s="160"/>
      <c r="G27" s="165">
        <f t="shared" si="9"/>
        <v>60000</v>
      </c>
      <c r="H27" s="243"/>
      <c r="I27" s="244">
        <f>G27*6/12</f>
        <v>30000</v>
      </c>
      <c r="J27" s="244">
        <f>G27*2/12</f>
        <v>10000</v>
      </c>
      <c r="K27" s="244"/>
      <c r="L27" s="244">
        <f>G27*4/12</f>
        <v>20000</v>
      </c>
      <c r="M27" s="244"/>
      <c r="N27" s="177">
        <f t="shared" si="11"/>
        <v>60000</v>
      </c>
    </row>
    <row r="28" spans="1:15" x14ac:dyDescent="0.25">
      <c r="A28" s="144">
        <f t="shared" si="10"/>
        <v>1209</v>
      </c>
      <c r="B28" s="128" t="s">
        <v>202</v>
      </c>
      <c r="C28" s="159"/>
      <c r="D28" s="130">
        <v>30000</v>
      </c>
      <c r="E28" s="130"/>
      <c r="F28" s="160"/>
      <c r="G28" s="165">
        <f t="shared" si="9"/>
        <v>30000</v>
      </c>
      <c r="H28" s="243">
        <f>G28*4/6</f>
        <v>20000</v>
      </c>
      <c r="I28" s="244">
        <f>G28*2/6</f>
        <v>10000</v>
      </c>
      <c r="J28" s="244"/>
      <c r="K28" s="244"/>
      <c r="L28" s="244"/>
      <c r="M28" s="244"/>
      <c r="N28" s="177">
        <f t="shared" si="11"/>
        <v>30000</v>
      </c>
    </row>
    <row r="29" spans="1:15" x14ac:dyDescent="0.25">
      <c r="A29" s="144">
        <f t="shared" si="10"/>
        <v>1210</v>
      </c>
      <c r="B29" s="128" t="s">
        <v>201</v>
      </c>
      <c r="C29" s="159">
        <v>10000</v>
      </c>
      <c r="D29" s="130">
        <v>20000</v>
      </c>
      <c r="E29" s="130">
        <v>10000</v>
      </c>
      <c r="F29" s="160"/>
      <c r="G29" s="165">
        <f t="shared" si="9"/>
        <v>40000</v>
      </c>
      <c r="H29" s="243"/>
      <c r="I29" s="244">
        <f>G29*2/8</f>
        <v>10000</v>
      </c>
      <c r="J29" s="244">
        <f>G29*2/8</f>
        <v>10000</v>
      </c>
      <c r="K29" s="244">
        <f>G29*4/8</f>
        <v>20000</v>
      </c>
      <c r="L29" s="244"/>
      <c r="M29" s="244"/>
      <c r="N29" s="177">
        <f t="shared" si="11"/>
        <v>40000</v>
      </c>
    </row>
    <row r="30" spans="1:15" x14ac:dyDescent="0.25">
      <c r="A30" s="144"/>
      <c r="B30" s="128"/>
      <c r="C30" s="155"/>
      <c r="D30" s="129"/>
      <c r="E30" s="129"/>
      <c r="F30" s="156"/>
      <c r="G30" s="172"/>
      <c r="H30" s="157"/>
      <c r="I30" s="129"/>
      <c r="J30" s="129"/>
      <c r="K30" s="129"/>
      <c r="L30" s="129"/>
      <c r="M30" s="129"/>
      <c r="N30" s="158"/>
    </row>
    <row r="31" spans="1:15" x14ac:dyDescent="0.25">
      <c r="A31" s="145">
        <v>1299</v>
      </c>
      <c r="B31" s="101" t="s">
        <v>10</v>
      </c>
      <c r="C31" s="168">
        <f>SUM(C20:C29)</f>
        <v>355000</v>
      </c>
      <c r="D31" s="132">
        <f>SUM(D20:D29)</f>
        <v>585000</v>
      </c>
      <c r="E31" s="132">
        <f>SUM(E20:E29)</f>
        <v>120000</v>
      </c>
      <c r="F31" s="169">
        <f>SUM(F20:F29)</f>
        <v>0</v>
      </c>
      <c r="G31" s="232">
        <f>SUM(G20:G29)</f>
        <v>1060000</v>
      </c>
      <c r="H31" s="178">
        <f t="shared" ref="H31:M31" si="12">SUM(H20:H30)</f>
        <v>315000</v>
      </c>
      <c r="I31" s="132">
        <f t="shared" si="12"/>
        <v>340000</v>
      </c>
      <c r="J31" s="132">
        <f t="shared" si="12"/>
        <v>130000</v>
      </c>
      <c r="K31" s="132">
        <f t="shared" si="12"/>
        <v>115000</v>
      </c>
      <c r="L31" s="132">
        <f t="shared" si="12"/>
        <v>110000</v>
      </c>
      <c r="M31" s="132">
        <f t="shared" si="12"/>
        <v>50000</v>
      </c>
      <c r="N31" s="179">
        <f>SUM(N20:N29)</f>
        <v>1060000</v>
      </c>
    </row>
    <row r="32" spans="1:15" x14ac:dyDescent="0.25">
      <c r="A32" s="144">
        <v>1300</v>
      </c>
      <c r="B32" s="113" t="s">
        <v>187</v>
      </c>
      <c r="C32" s="155"/>
      <c r="D32" s="129"/>
      <c r="E32" s="129"/>
      <c r="F32" s="156"/>
      <c r="G32" s="172"/>
      <c r="H32" s="157"/>
      <c r="I32" s="129"/>
      <c r="J32" s="129"/>
      <c r="K32" s="129"/>
      <c r="L32" s="129"/>
      <c r="M32" s="129"/>
      <c r="N32" s="158"/>
    </row>
    <row r="33" spans="1:15" x14ac:dyDescent="0.25">
      <c r="A33" s="144">
        <v>1301</v>
      </c>
      <c r="B33" s="99" t="s">
        <v>207</v>
      </c>
      <c r="C33" s="159">
        <v>0</v>
      </c>
      <c r="D33" s="130">
        <v>0</v>
      </c>
      <c r="E33" s="130">
        <v>0</v>
      </c>
      <c r="F33" s="160">
        <v>74413</v>
      </c>
      <c r="G33" s="165">
        <f>SUM(C33:F33)</f>
        <v>74413</v>
      </c>
      <c r="H33" s="212">
        <f>(12*1778)*0.5</f>
        <v>10668</v>
      </c>
      <c r="I33" s="213">
        <f t="shared" ref="I33:M34" si="13">H33*1.06</f>
        <v>11308.08</v>
      </c>
      <c r="J33" s="213">
        <f t="shared" si="13"/>
        <v>11986.5648</v>
      </c>
      <c r="K33" s="213">
        <f t="shared" si="13"/>
        <v>12705.758688</v>
      </c>
      <c r="L33" s="213">
        <f t="shared" si="13"/>
        <v>13468.10420928</v>
      </c>
      <c r="M33" s="213">
        <f t="shared" si="13"/>
        <v>14276.190461836801</v>
      </c>
      <c r="N33" s="177">
        <f t="shared" ref="N33:N40" si="14">SUM(H33:M33)</f>
        <v>74412.698159116801</v>
      </c>
    </row>
    <row r="34" spans="1:15" x14ac:dyDescent="0.25">
      <c r="A34" s="144">
        <f>A33+1</f>
        <v>1302</v>
      </c>
      <c r="B34" s="99" t="s">
        <v>71</v>
      </c>
      <c r="C34" s="159">
        <v>0</v>
      </c>
      <c r="D34" s="130">
        <v>0</v>
      </c>
      <c r="E34" s="130">
        <v>0</v>
      </c>
      <c r="F34" s="160">
        <v>74413</v>
      </c>
      <c r="G34" s="165">
        <f>SUM(C34:F34)</f>
        <v>74413</v>
      </c>
      <c r="H34" s="212">
        <f>12*889</f>
        <v>10668</v>
      </c>
      <c r="I34" s="213">
        <f t="shared" si="13"/>
        <v>11308.08</v>
      </c>
      <c r="J34" s="213">
        <f t="shared" si="13"/>
        <v>11986.5648</v>
      </c>
      <c r="K34" s="213">
        <f t="shared" si="13"/>
        <v>12705.758688</v>
      </c>
      <c r="L34" s="213">
        <f t="shared" si="13"/>
        <v>13468.10420928</v>
      </c>
      <c r="M34" s="213">
        <f t="shared" si="13"/>
        <v>14276.190461836801</v>
      </c>
      <c r="N34" s="177">
        <f t="shared" si="14"/>
        <v>74412.698159116801</v>
      </c>
    </row>
    <row r="35" spans="1:15" x14ac:dyDescent="0.25">
      <c r="A35" s="144">
        <f t="shared" ref="A35:A40" si="15">A34+1</f>
        <v>1303</v>
      </c>
      <c r="B35" s="99" t="s">
        <v>105</v>
      </c>
      <c r="C35" s="159">
        <v>0</v>
      </c>
      <c r="D35" s="130">
        <v>109963</v>
      </c>
      <c r="E35" s="130">
        <v>0</v>
      </c>
      <c r="F35" s="160"/>
      <c r="G35" s="165">
        <f t="shared" ref="G35:G40" si="16">SUM(C35:F35)</f>
        <v>109963</v>
      </c>
      <c r="H35" s="212">
        <v>17000</v>
      </c>
      <c r="I35" s="213">
        <f t="shared" ref="I35:M40" si="17">H35*1.03</f>
        <v>17510</v>
      </c>
      <c r="J35" s="213">
        <f t="shared" si="17"/>
        <v>18035.3</v>
      </c>
      <c r="K35" s="213">
        <f t="shared" si="17"/>
        <v>18576.359</v>
      </c>
      <c r="L35" s="213">
        <f t="shared" si="17"/>
        <v>19133.64977</v>
      </c>
      <c r="M35" s="213">
        <f t="shared" si="17"/>
        <v>19707.659263100002</v>
      </c>
      <c r="N35" s="177">
        <f t="shared" si="14"/>
        <v>109962.96803310001</v>
      </c>
    </row>
    <row r="36" spans="1:15" x14ac:dyDescent="0.25">
      <c r="A36" s="144">
        <f t="shared" si="15"/>
        <v>1304</v>
      </c>
      <c r="B36" s="99" t="s">
        <v>106</v>
      </c>
      <c r="C36" s="159">
        <v>0</v>
      </c>
      <c r="D36" s="130">
        <v>0</v>
      </c>
      <c r="E36" s="130">
        <v>0</v>
      </c>
      <c r="F36" s="160"/>
      <c r="G36" s="165">
        <f t="shared" si="16"/>
        <v>0</v>
      </c>
      <c r="H36" s="212">
        <v>0</v>
      </c>
      <c r="I36" s="213">
        <f t="shared" si="17"/>
        <v>0</v>
      </c>
      <c r="J36" s="213">
        <f t="shared" si="17"/>
        <v>0</v>
      </c>
      <c r="K36" s="213">
        <f t="shared" si="17"/>
        <v>0</v>
      </c>
      <c r="L36" s="213">
        <f t="shared" si="17"/>
        <v>0</v>
      </c>
      <c r="M36" s="213">
        <f t="shared" si="17"/>
        <v>0</v>
      </c>
      <c r="N36" s="177">
        <f t="shared" si="14"/>
        <v>0</v>
      </c>
    </row>
    <row r="37" spans="1:15" x14ac:dyDescent="0.25">
      <c r="A37" s="144">
        <f t="shared" si="15"/>
        <v>1305</v>
      </c>
      <c r="B37" s="99" t="s">
        <v>107</v>
      </c>
      <c r="C37" s="159">
        <v>0</v>
      </c>
      <c r="D37" s="130">
        <v>148774</v>
      </c>
      <c r="E37" s="130">
        <v>0</v>
      </c>
      <c r="F37" s="160"/>
      <c r="G37" s="165">
        <f t="shared" si="16"/>
        <v>148774</v>
      </c>
      <c r="H37" s="212">
        <v>23000</v>
      </c>
      <c r="I37" s="213">
        <f t="shared" si="17"/>
        <v>23690</v>
      </c>
      <c r="J37" s="213">
        <f t="shared" si="17"/>
        <v>24400.7</v>
      </c>
      <c r="K37" s="213">
        <f t="shared" si="17"/>
        <v>25132.721000000001</v>
      </c>
      <c r="L37" s="213">
        <f t="shared" si="17"/>
        <v>25886.702630000003</v>
      </c>
      <c r="M37" s="213">
        <f>(L37*1.03)+1</f>
        <v>26664.303708900003</v>
      </c>
      <c r="N37" s="177">
        <f t="shared" si="14"/>
        <v>148774.42733890002</v>
      </c>
    </row>
    <row r="38" spans="1:15" x14ac:dyDescent="0.25">
      <c r="A38" s="144">
        <f t="shared" si="15"/>
        <v>1306</v>
      </c>
      <c r="B38" s="99" t="s">
        <v>109</v>
      </c>
      <c r="C38" s="159">
        <v>0</v>
      </c>
      <c r="D38" s="131">
        <v>0</v>
      </c>
      <c r="E38" s="130">
        <v>0</v>
      </c>
      <c r="F38" s="160"/>
      <c r="G38" s="165">
        <f t="shared" si="16"/>
        <v>0</v>
      </c>
      <c r="H38" s="212">
        <v>0</v>
      </c>
      <c r="I38" s="213">
        <f t="shared" si="17"/>
        <v>0</v>
      </c>
      <c r="J38" s="213">
        <f t="shared" si="17"/>
        <v>0</v>
      </c>
      <c r="K38" s="213">
        <f t="shared" si="17"/>
        <v>0</v>
      </c>
      <c r="L38" s="213">
        <f t="shared" si="17"/>
        <v>0</v>
      </c>
      <c r="M38" s="213">
        <f t="shared" si="17"/>
        <v>0</v>
      </c>
      <c r="N38" s="177">
        <f t="shared" si="14"/>
        <v>0</v>
      </c>
    </row>
    <row r="39" spans="1:15" x14ac:dyDescent="0.25">
      <c r="A39" s="144">
        <f t="shared" si="15"/>
        <v>1307</v>
      </c>
      <c r="B39" s="99" t="s">
        <v>108</v>
      </c>
      <c r="C39" s="159">
        <v>0</v>
      </c>
      <c r="D39" s="130">
        <v>129368</v>
      </c>
      <c r="E39" s="130">
        <v>0</v>
      </c>
      <c r="F39" s="160"/>
      <c r="G39" s="165">
        <f t="shared" si="16"/>
        <v>129368</v>
      </c>
      <c r="H39" s="212">
        <v>20000</v>
      </c>
      <c r="I39" s="213">
        <f t="shared" si="17"/>
        <v>20600</v>
      </c>
      <c r="J39" s="213">
        <f t="shared" si="17"/>
        <v>21218</v>
      </c>
      <c r="K39" s="213">
        <f t="shared" si="17"/>
        <v>21854.54</v>
      </c>
      <c r="L39" s="213">
        <f t="shared" si="17"/>
        <v>22510.176200000002</v>
      </c>
      <c r="M39" s="213">
        <f t="shared" si="17"/>
        <v>23185.481486000001</v>
      </c>
      <c r="N39" s="177">
        <f t="shared" si="14"/>
        <v>129368.19768600001</v>
      </c>
    </row>
    <row r="40" spans="1:15" x14ac:dyDescent="0.25">
      <c r="A40" s="144">
        <f t="shared" si="15"/>
        <v>1308</v>
      </c>
      <c r="B40" s="99" t="s">
        <v>110</v>
      </c>
      <c r="C40" s="159">
        <v>0</v>
      </c>
      <c r="D40" s="130">
        <v>0</v>
      </c>
      <c r="E40" s="130">
        <v>0</v>
      </c>
      <c r="F40" s="160"/>
      <c r="G40" s="165">
        <f t="shared" si="16"/>
        <v>0</v>
      </c>
      <c r="H40" s="212">
        <v>0</v>
      </c>
      <c r="I40" s="213">
        <f t="shared" si="17"/>
        <v>0</v>
      </c>
      <c r="J40" s="213">
        <f t="shared" si="17"/>
        <v>0</v>
      </c>
      <c r="K40" s="213">
        <f t="shared" si="17"/>
        <v>0</v>
      </c>
      <c r="L40" s="213">
        <f t="shared" si="17"/>
        <v>0</v>
      </c>
      <c r="M40" s="213">
        <f t="shared" si="17"/>
        <v>0</v>
      </c>
      <c r="N40" s="177">
        <f t="shared" si="14"/>
        <v>0</v>
      </c>
    </row>
    <row r="41" spans="1:15" x14ac:dyDescent="0.25">
      <c r="A41" s="144"/>
      <c r="B41" s="100"/>
      <c r="C41" s="159"/>
      <c r="D41" s="130"/>
      <c r="E41" s="130"/>
      <c r="F41" s="160"/>
      <c r="G41" s="165"/>
      <c r="H41" s="180"/>
      <c r="I41" s="130"/>
      <c r="J41" s="130"/>
      <c r="K41" s="130"/>
      <c r="L41" s="130"/>
      <c r="M41" s="130"/>
      <c r="N41" s="177"/>
    </row>
    <row r="42" spans="1:15" x14ac:dyDescent="0.25">
      <c r="A42" s="145">
        <v>1399</v>
      </c>
      <c r="B42" s="101" t="s">
        <v>10</v>
      </c>
      <c r="C42" s="168">
        <f t="shared" ref="C42:M42" si="18">SUM(C33:C41)</f>
        <v>0</v>
      </c>
      <c r="D42" s="132">
        <f t="shared" si="18"/>
        <v>388105</v>
      </c>
      <c r="E42" s="132">
        <f t="shared" si="18"/>
        <v>0</v>
      </c>
      <c r="F42" s="169">
        <f t="shared" si="18"/>
        <v>148826</v>
      </c>
      <c r="G42" s="232">
        <f>SUM(G33:G40)</f>
        <v>536931</v>
      </c>
      <c r="H42" s="178">
        <f t="shared" si="18"/>
        <v>81336</v>
      </c>
      <c r="I42" s="132">
        <f t="shared" si="18"/>
        <v>84416.16</v>
      </c>
      <c r="J42" s="132">
        <f t="shared" si="18"/>
        <v>87627.1296</v>
      </c>
      <c r="K42" s="132">
        <f t="shared" si="18"/>
        <v>90975.137375999999</v>
      </c>
      <c r="L42" s="132">
        <f t="shared" si="18"/>
        <v>94466.737018560001</v>
      </c>
      <c r="M42" s="132">
        <f t="shared" si="18"/>
        <v>98109.825381673611</v>
      </c>
      <c r="N42" s="179">
        <f>SUM(N33:N40)</f>
        <v>536930.98937623366</v>
      </c>
      <c r="O42" s="214"/>
    </row>
    <row r="43" spans="1:15" x14ac:dyDescent="0.25">
      <c r="A43" s="144">
        <v>1600</v>
      </c>
      <c r="B43" s="113" t="s">
        <v>188</v>
      </c>
      <c r="C43" s="155"/>
      <c r="D43" s="129"/>
      <c r="E43" s="129"/>
      <c r="F43" s="156"/>
      <c r="G43" s="172"/>
      <c r="H43" s="157"/>
      <c r="I43" s="129"/>
      <c r="J43" s="129"/>
      <c r="K43" s="129"/>
      <c r="L43" s="129"/>
      <c r="M43" s="129"/>
      <c r="N43" s="158"/>
    </row>
    <row r="44" spans="1:15" x14ac:dyDescent="0.25">
      <c r="A44" s="144">
        <v>1601</v>
      </c>
      <c r="B44" s="108" t="s">
        <v>120</v>
      </c>
      <c r="C44" s="159">
        <v>10000</v>
      </c>
      <c r="D44" s="130"/>
      <c r="E44" s="130">
        <v>20000</v>
      </c>
      <c r="F44" s="160"/>
      <c r="G44" s="165">
        <f>SUM(C44:E44)</f>
        <v>30000</v>
      </c>
      <c r="H44" s="157">
        <f>G44/6</f>
        <v>5000</v>
      </c>
      <c r="I44" s="129">
        <f>H44</f>
        <v>5000</v>
      </c>
      <c r="J44" s="129">
        <f t="shared" ref="J44:M44" si="19">I44</f>
        <v>5000</v>
      </c>
      <c r="K44" s="129">
        <f t="shared" si="19"/>
        <v>5000</v>
      </c>
      <c r="L44" s="129">
        <f t="shared" si="19"/>
        <v>5000</v>
      </c>
      <c r="M44" s="129">
        <f t="shared" si="19"/>
        <v>5000</v>
      </c>
      <c r="N44" s="177">
        <f>SUM(H44:M44)</f>
        <v>30000</v>
      </c>
    </row>
    <row r="45" spans="1:15" x14ac:dyDescent="0.25">
      <c r="A45" s="144">
        <v>1602</v>
      </c>
      <c r="B45" s="108" t="s">
        <v>119</v>
      </c>
      <c r="C45" s="159">
        <v>60000</v>
      </c>
      <c r="D45" s="130">
        <v>140000</v>
      </c>
      <c r="E45" s="130">
        <v>10000</v>
      </c>
      <c r="F45" s="160"/>
      <c r="G45" s="165">
        <f t="shared" ref="G45" si="20">SUM(C45:F45)</f>
        <v>210000</v>
      </c>
      <c r="H45" s="157">
        <v>40000</v>
      </c>
      <c r="I45" s="129">
        <v>40000</v>
      </c>
      <c r="J45" s="129">
        <v>40000</v>
      </c>
      <c r="K45" s="129">
        <v>30000</v>
      </c>
      <c r="L45" s="129">
        <v>30000</v>
      </c>
      <c r="M45" s="129">
        <v>30000</v>
      </c>
      <c r="N45" s="177">
        <f>SUM(H45:M45)</f>
        <v>210000</v>
      </c>
    </row>
    <row r="46" spans="1:15" x14ac:dyDescent="0.25">
      <c r="A46" s="144"/>
      <c r="B46" s="102"/>
      <c r="C46" s="159"/>
      <c r="D46" s="130"/>
      <c r="E46" s="130"/>
      <c r="F46" s="160"/>
      <c r="G46" s="172"/>
      <c r="H46" s="157"/>
      <c r="I46" s="129"/>
      <c r="J46" s="129"/>
      <c r="K46" s="129"/>
      <c r="L46" s="129"/>
      <c r="M46" s="129"/>
      <c r="N46" s="177"/>
    </row>
    <row r="47" spans="1:15" x14ac:dyDescent="0.25">
      <c r="A47" s="145">
        <v>1699</v>
      </c>
      <c r="B47" s="101" t="s">
        <v>10</v>
      </c>
      <c r="C47" s="168">
        <f>SUM(C44:C46)</f>
        <v>70000</v>
      </c>
      <c r="D47" s="132">
        <f>SUM(D44:D46)</f>
        <v>140000</v>
      </c>
      <c r="E47" s="132">
        <f>SUM(E44:E46)</f>
        <v>30000</v>
      </c>
      <c r="F47" s="169">
        <f>SUM(F44:F46)</f>
        <v>0</v>
      </c>
      <c r="G47" s="232">
        <f>SUM(G43:G46)</f>
        <v>240000</v>
      </c>
      <c r="H47" s="178">
        <f t="shared" ref="H47:N47" si="21">SUM(H44:H45)</f>
        <v>45000</v>
      </c>
      <c r="I47" s="132">
        <f t="shared" si="21"/>
        <v>45000</v>
      </c>
      <c r="J47" s="132">
        <f t="shared" si="21"/>
        <v>45000</v>
      </c>
      <c r="K47" s="132">
        <f t="shared" si="21"/>
        <v>35000</v>
      </c>
      <c r="L47" s="132">
        <f t="shared" si="21"/>
        <v>35000</v>
      </c>
      <c r="M47" s="132">
        <f t="shared" si="21"/>
        <v>35000</v>
      </c>
      <c r="N47" s="179">
        <f t="shared" si="21"/>
        <v>240000</v>
      </c>
    </row>
    <row r="48" spans="1:15" s="6" customFormat="1" x14ac:dyDescent="0.25">
      <c r="A48" s="146"/>
      <c r="B48" s="103"/>
      <c r="C48" s="159"/>
      <c r="D48" s="130"/>
      <c r="E48" s="130"/>
      <c r="F48" s="160"/>
      <c r="G48" s="165"/>
      <c r="H48" s="180"/>
      <c r="I48" s="130"/>
      <c r="J48" s="130"/>
      <c r="K48" s="130"/>
      <c r="L48" s="130"/>
      <c r="M48" s="130"/>
      <c r="N48" s="177"/>
      <c r="O48" s="2"/>
    </row>
    <row r="49" spans="1:16" x14ac:dyDescent="0.25">
      <c r="A49" s="147">
        <v>1999</v>
      </c>
      <c r="B49" s="104" t="s">
        <v>11</v>
      </c>
      <c r="C49" s="181">
        <f>SUM(C18,C31,C42,C47)</f>
        <v>706111</v>
      </c>
      <c r="D49" s="182">
        <f>SUM(D18,D31,D42,D47)</f>
        <v>2447783</v>
      </c>
      <c r="E49" s="182">
        <f>SUM(E18,E31,E42,E47)</f>
        <v>371703</v>
      </c>
      <c r="F49" s="183">
        <f>SUM(F18,F31,F42,F47)</f>
        <v>148826</v>
      </c>
      <c r="G49" s="233">
        <f>SUM(G18,G31,G42,G47)</f>
        <v>3674423</v>
      </c>
      <c r="H49" s="184">
        <f t="shared" ref="H49:N49" si="22">SUM(H18,H31,H42,H47)</f>
        <v>777171.5</v>
      </c>
      <c r="I49" s="182">
        <f t="shared" si="22"/>
        <v>815701.79</v>
      </c>
      <c r="J49" s="182">
        <f t="shared" si="22"/>
        <v>619774.89740000002</v>
      </c>
      <c r="K49" s="182">
        <f t="shared" si="22"/>
        <v>609416.84124400001</v>
      </c>
      <c r="L49" s="182">
        <f t="shared" si="22"/>
        <v>484910.45658528002</v>
      </c>
      <c r="M49" s="182">
        <f t="shared" si="22"/>
        <v>367447.23987739685</v>
      </c>
      <c r="N49" s="185">
        <f t="shared" si="22"/>
        <v>3674423.6351066772</v>
      </c>
      <c r="O49" s="35"/>
    </row>
    <row r="50" spans="1:16" s="6" customFormat="1" x14ac:dyDescent="0.25">
      <c r="A50" s="146"/>
      <c r="B50" s="103"/>
      <c r="C50" s="159"/>
      <c r="D50" s="130"/>
      <c r="E50" s="130"/>
      <c r="F50" s="160"/>
      <c r="G50" s="165"/>
      <c r="H50" s="180"/>
      <c r="I50" s="130"/>
      <c r="J50" s="130"/>
      <c r="K50" s="130"/>
      <c r="L50" s="130"/>
      <c r="M50" s="130"/>
      <c r="N50" s="177"/>
      <c r="O50" s="2"/>
    </row>
    <row r="51" spans="1:16" x14ac:dyDescent="0.25">
      <c r="A51" s="148">
        <v>20</v>
      </c>
      <c r="B51" s="128" t="s">
        <v>12</v>
      </c>
      <c r="C51" s="155"/>
      <c r="D51" s="129"/>
      <c r="E51" s="129"/>
      <c r="F51" s="156"/>
      <c r="G51" s="172"/>
      <c r="H51" s="157"/>
      <c r="I51" s="129"/>
      <c r="J51" s="129"/>
      <c r="K51" s="129"/>
      <c r="L51" s="129"/>
      <c r="M51" s="129"/>
      <c r="N51" s="158"/>
    </row>
    <row r="52" spans="1:16" ht="30" x14ac:dyDescent="0.25">
      <c r="A52" s="144">
        <v>2100</v>
      </c>
      <c r="B52" s="113" t="s">
        <v>189</v>
      </c>
      <c r="C52" s="155"/>
      <c r="D52" s="129"/>
      <c r="E52" s="129"/>
      <c r="F52" s="156"/>
      <c r="G52" s="172"/>
      <c r="H52" s="157"/>
      <c r="I52" s="129"/>
      <c r="J52" s="129"/>
      <c r="K52" s="129"/>
      <c r="L52" s="129"/>
      <c r="M52" s="129"/>
      <c r="N52" s="158"/>
    </row>
    <row r="53" spans="1:16" ht="30" x14ac:dyDescent="0.25">
      <c r="A53" s="144">
        <f>A52+1</f>
        <v>2101</v>
      </c>
      <c r="B53" s="128" t="s">
        <v>141</v>
      </c>
      <c r="C53" s="186">
        <v>50000</v>
      </c>
      <c r="D53" s="187">
        <v>50000</v>
      </c>
      <c r="E53" s="187">
        <v>20000</v>
      </c>
      <c r="F53" s="188"/>
      <c r="G53" s="234">
        <f t="shared" ref="G53:G80" si="23">SUM(C53:F53)</f>
        <v>120000</v>
      </c>
      <c r="H53" s="245">
        <f>G53/3</f>
        <v>40000</v>
      </c>
      <c r="I53" s="193">
        <f>G53/3</f>
        <v>40000</v>
      </c>
      <c r="J53" s="193">
        <f>G53/3</f>
        <v>40000</v>
      </c>
      <c r="K53" s="193"/>
      <c r="L53" s="193"/>
      <c r="M53" s="193"/>
      <c r="N53" s="190">
        <f t="shared" ref="N53:N80" si="24">SUM(H53:M53)</f>
        <v>120000</v>
      </c>
      <c r="O53" s="35"/>
    </row>
    <row r="54" spans="1:16" ht="45" x14ac:dyDescent="0.25">
      <c r="A54" s="144">
        <f t="shared" ref="A54:A80" si="25">A53+1</f>
        <v>2102</v>
      </c>
      <c r="B54" s="128" t="s">
        <v>197</v>
      </c>
      <c r="C54" s="186">
        <v>50000</v>
      </c>
      <c r="D54" s="187">
        <v>50000</v>
      </c>
      <c r="E54" s="187"/>
      <c r="F54" s="188"/>
      <c r="G54" s="234">
        <f t="shared" si="23"/>
        <v>100000</v>
      </c>
      <c r="H54" s="245">
        <f>G54/4</f>
        <v>25000</v>
      </c>
      <c r="I54" s="193">
        <f>G54/4</f>
        <v>25000</v>
      </c>
      <c r="J54" s="193">
        <f>G54/4</f>
        <v>25000</v>
      </c>
      <c r="K54" s="193">
        <f>G54/4</f>
        <v>25000</v>
      </c>
      <c r="L54" s="193"/>
      <c r="M54" s="193"/>
      <c r="N54" s="190">
        <f t="shared" si="24"/>
        <v>100000</v>
      </c>
      <c r="O54" s="35"/>
    </row>
    <row r="55" spans="1:16" ht="45" x14ac:dyDescent="0.25">
      <c r="A55" s="144">
        <f t="shared" si="25"/>
        <v>2103</v>
      </c>
      <c r="B55" s="128" t="s">
        <v>198</v>
      </c>
      <c r="C55" s="186">
        <v>110000</v>
      </c>
      <c r="D55" s="187"/>
      <c r="E55" s="187">
        <v>20000</v>
      </c>
      <c r="F55" s="188"/>
      <c r="G55" s="234">
        <f t="shared" si="23"/>
        <v>130000</v>
      </c>
      <c r="H55" s="245">
        <f>G55/3</f>
        <v>43333.333333333336</v>
      </c>
      <c r="I55" s="193">
        <f>G55/3</f>
        <v>43333.333333333336</v>
      </c>
      <c r="J55" s="193">
        <f>G55/3</f>
        <v>43333.333333333336</v>
      </c>
      <c r="K55" s="193"/>
      <c r="L55" s="193"/>
      <c r="M55" s="193"/>
      <c r="N55" s="190">
        <f t="shared" si="24"/>
        <v>130000</v>
      </c>
      <c r="O55" s="35"/>
    </row>
    <row r="56" spans="1:16" ht="30" x14ac:dyDescent="0.25">
      <c r="A56" s="144">
        <f t="shared" si="25"/>
        <v>2104</v>
      </c>
      <c r="B56" s="128" t="s">
        <v>145</v>
      </c>
      <c r="C56" s="186">
        <v>150000</v>
      </c>
      <c r="D56" s="187"/>
      <c r="E56" s="187"/>
      <c r="F56" s="188"/>
      <c r="G56" s="234">
        <f t="shared" si="23"/>
        <v>150000</v>
      </c>
      <c r="H56" s="245">
        <f>G56/2</f>
        <v>75000</v>
      </c>
      <c r="I56" s="193">
        <f>G56/2</f>
        <v>75000</v>
      </c>
      <c r="J56" s="193"/>
      <c r="K56" s="193"/>
      <c r="L56" s="193"/>
      <c r="M56" s="193"/>
      <c r="N56" s="190">
        <f t="shared" si="24"/>
        <v>150000</v>
      </c>
      <c r="O56" s="35"/>
    </row>
    <row r="57" spans="1:16" ht="30" x14ac:dyDescent="0.25">
      <c r="A57" s="144">
        <f t="shared" si="25"/>
        <v>2105</v>
      </c>
      <c r="B57" s="128" t="s">
        <v>146</v>
      </c>
      <c r="C57" s="186">
        <v>15000</v>
      </c>
      <c r="D57" s="187">
        <v>30000</v>
      </c>
      <c r="E57" s="187"/>
      <c r="F57" s="188"/>
      <c r="G57" s="234">
        <f t="shared" si="23"/>
        <v>45000</v>
      </c>
      <c r="H57" s="245"/>
      <c r="I57" s="193"/>
      <c r="J57" s="193"/>
      <c r="K57" s="193">
        <f>G57/3</f>
        <v>15000</v>
      </c>
      <c r="L57" s="193">
        <f>G57/3</f>
        <v>15000</v>
      </c>
      <c r="M57" s="193">
        <f>G57/3</f>
        <v>15000</v>
      </c>
      <c r="N57" s="190">
        <f t="shared" si="24"/>
        <v>45000</v>
      </c>
      <c r="O57" s="35"/>
    </row>
    <row r="58" spans="1:16" ht="45" x14ac:dyDescent="0.25">
      <c r="A58" s="144">
        <f t="shared" si="25"/>
        <v>2106</v>
      </c>
      <c r="B58" s="128" t="s">
        <v>147</v>
      </c>
      <c r="C58" s="186">
        <v>25000</v>
      </c>
      <c r="D58" s="187">
        <v>15000</v>
      </c>
      <c r="E58" s="187"/>
      <c r="F58" s="188"/>
      <c r="G58" s="234">
        <f t="shared" si="23"/>
        <v>40000</v>
      </c>
      <c r="H58" s="245"/>
      <c r="I58" s="193"/>
      <c r="J58" s="193">
        <f>G58/4</f>
        <v>10000</v>
      </c>
      <c r="K58" s="193">
        <f>G58/4</f>
        <v>10000</v>
      </c>
      <c r="L58" s="193">
        <f>G58/4</f>
        <v>10000</v>
      </c>
      <c r="M58" s="193">
        <f>G58/4</f>
        <v>10000</v>
      </c>
      <c r="N58" s="190">
        <f t="shared" si="24"/>
        <v>40000</v>
      </c>
      <c r="O58" s="35"/>
    </row>
    <row r="59" spans="1:16" ht="45" x14ac:dyDescent="0.25">
      <c r="A59" s="144">
        <f t="shared" si="25"/>
        <v>2107</v>
      </c>
      <c r="B59" s="128" t="s">
        <v>148</v>
      </c>
      <c r="C59" s="186">
        <v>25000</v>
      </c>
      <c r="D59" s="187">
        <v>25000</v>
      </c>
      <c r="E59" s="187"/>
      <c r="F59" s="188"/>
      <c r="G59" s="234">
        <f t="shared" si="23"/>
        <v>50000</v>
      </c>
      <c r="H59" s="245"/>
      <c r="I59" s="193">
        <f>G59/5</f>
        <v>10000</v>
      </c>
      <c r="J59" s="193">
        <f>G59/5</f>
        <v>10000</v>
      </c>
      <c r="K59" s="193">
        <f>G59/5</f>
        <v>10000</v>
      </c>
      <c r="L59" s="193">
        <f>G59/5</f>
        <v>10000</v>
      </c>
      <c r="M59" s="193">
        <f>G59/5</f>
        <v>10000</v>
      </c>
      <c r="N59" s="190">
        <f t="shared" si="24"/>
        <v>50000</v>
      </c>
      <c r="O59" s="35"/>
    </row>
    <row r="60" spans="1:16" ht="60" x14ac:dyDescent="0.25">
      <c r="A60" s="144">
        <f t="shared" si="25"/>
        <v>2108</v>
      </c>
      <c r="B60" s="128" t="s">
        <v>155</v>
      </c>
      <c r="C60" s="186"/>
      <c r="D60" s="187">
        <v>90000</v>
      </c>
      <c r="E60" s="187"/>
      <c r="F60" s="188"/>
      <c r="G60" s="234">
        <f t="shared" si="23"/>
        <v>90000</v>
      </c>
      <c r="H60" s="192"/>
      <c r="I60" s="246">
        <f>G60/3</f>
        <v>30000</v>
      </c>
      <c r="J60" s="246">
        <f>G60/3</f>
        <v>30000</v>
      </c>
      <c r="K60" s="246">
        <f>G60/3</f>
        <v>30000</v>
      </c>
      <c r="L60" s="246"/>
      <c r="M60" s="246"/>
      <c r="N60" s="190">
        <f t="shared" si="24"/>
        <v>90000</v>
      </c>
      <c r="O60" s="35"/>
      <c r="P60" s="35"/>
    </row>
    <row r="61" spans="1:16" ht="50.25" customHeight="1" x14ac:dyDescent="0.25">
      <c r="A61" s="144">
        <f t="shared" si="25"/>
        <v>2109</v>
      </c>
      <c r="B61" s="128" t="s">
        <v>154</v>
      </c>
      <c r="C61" s="186"/>
      <c r="D61" s="187">
        <v>80000</v>
      </c>
      <c r="E61" s="187"/>
      <c r="F61" s="188"/>
      <c r="G61" s="234">
        <f t="shared" si="23"/>
        <v>80000</v>
      </c>
      <c r="H61" s="192"/>
      <c r="I61" s="246">
        <f>G61/4</f>
        <v>20000</v>
      </c>
      <c r="J61" s="246">
        <f>G61/4</f>
        <v>20000</v>
      </c>
      <c r="K61" s="246">
        <f>G61/4</f>
        <v>20000</v>
      </c>
      <c r="L61" s="246">
        <f>G61/4</f>
        <v>20000</v>
      </c>
      <c r="M61" s="246"/>
      <c r="N61" s="190">
        <f t="shared" si="24"/>
        <v>80000</v>
      </c>
      <c r="O61" s="35"/>
      <c r="P61" s="35"/>
    </row>
    <row r="62" spans="1:16" ht="45" x14ac:dyDescent="0.25">
      <c r="A62" s="144">
        <f t="shared" si="25"/>
        <v>2110</v>
      </c>
      <c r="B62" s="128" t="s">
        <v>158</v>
      </c>
      <c r="C62" s="186"/>
      <c r="D62" s="187">
        <v>73941.505409078891</v>
      </c>
      <c r="E62" s="187"/>
      <c r="F62" s="188"/>
      <c r="G62" s="234">
        <f>SUM(C62:F62)</f>
        <v>73941.505409078891</v>
      </c>
      <c r="H62" s="192"/>
      <c r="I62" s="246"/>
      <c r="J62" s="246">
        <f>G62/4</f>
        <v>18485.376352269723</v>
      </c>
      <c r="K62" s="246">
        <f>G62/4</f>
        <v>18485.376352269723</v>
      </c>
      <c r="L62" s="246">
        <f>G62/4</f>
        <v>18485.376352269723</v>
      </c>
      <c r="M62" s="246">
        <f>G62/4</f>
        <v>18485.376352269723</v>
      </c>
      <c r="N62" s="190">
        <f>SUM(H62:M62)</f>
        <v>73941.505409078891</v>
      </c>
      <c r="O62" s="35"/>
      <c r="P62" s="35"/>
    </row>
    <row r="63" spans="1:16" ht="45" x14ac:dyDescent="0.25">
      <c r="A63" s="144">
        <f t="shared" si="25"/>
        <v>2111</v>
      </c>
      <c r="B63" s="128" t="s">
        <v>157</v>
      </c>
      <c r="C63" s="186"/>
      <c r="D63" s="187">
        <f>136021.104237147-28477-16500</f>
        <v>91044.104237146996</v>
      </c>
      <c r="E63" s="187"/>
      <c r="F63" s="188"/>
      <c r="G63" s="234">
        <f t="shared" si="23"/>
        <v>91044.104237146996</v>
      </c>
      <c r="H63" s="192"/>
      <c r="I63" s="246"/>
      <c r="J63" s="246">
        <f>G63/4</f>
        <v>22761.026059286749</v>
      </c>
      <c r="K63" s="246">
        <f>G63/4</f>
        <v>22761.026059286749</v>
      </c>
      <c r="L63" s="246">
        <f>G63/4</f>
        <v>22761.026059286749</v>
      </c>
      <c r="M63" s="246">
        <f>G63/4</f>
        <v>22761.026059286749</v>
      </c>
      <c r="N63" s="190">
        <f t="shared" si="24"/>
        <v>91044.104237146996</v>
      </c>
      <c r="O63" s="35"/>
      <c r="P63" s="35"/>
    </row>
    <row r="64" spans="1:16" ht="95.25" customHeight="1" x14ac:dyDescent="0.25">
      <c r="A64" s="142">
        <f t="shared" si="25"/>
        <v>2112</v>
      </c>
      <c r="B64" s="128" t="s">
        <v>159</v>
      </c>
      <c r="C64" s="186"/>
      <c r="D64" s="187">
        <v>90000</v>
      </c>
      <c r="E64" s="187"/>
      <c r="F64" s="188"/>
      <c r="G64" s="234">
        <f t="shared" si="23"/>
        <v>90000</v>
      </c>
      <c r="H64" s="192">
        <f>G64/3</f>
        <v>30000</v>
      </c>
      <c r="I64" s="246">
        <f>G64/3</f>
        <v>30000</v>
      </c>
      <c r="J64" s="246">
        <f>G64/3</f>
        <v>30000</v>
      </c>
      <c r="K64" s="246"/>
      <c r="L64" s="246"/>
      <c r="M64" s="246"/>
      <c r="N64" s="190">
        <f>SUM(H64:M64)</f>
        <v>90000</v>
      </c>
    </row>
    <row r="65" spans="1:16" ht="90" x14ac:dyDescent="0.25">
      <c r="A65" s="144">
        <f t="shared" si="25"/>
        <v>2113</v>
      </c>
      <c r="B65" s="128" t="s">
        <v>161</v>
      </c>
      <c r="C65" s="186"/>
      <c r="D65" s="187">
        <v>69860.214839478911</v>
      </c>
      <c r="E65" s="187"/>
      <c r="F65" s="188"/>
      <c r="G65" s="234">
        <f t="shared" si="23"/>
        <v>69860.214839478911</v>
      </c>
      <c r="H65" s="192">
        <f>G65/4</f>
        <v>17465.053709869728</v>
      </c>
      <c r="I65" s="246">
        <f>G65/4</f>
        <v>17465.053709869728</v>
      </c>
      <c r="J65" s="246">
        <f>G65/4</f>
        <v>17465.053709869728</v>
      </c>
      <c r="K65" s="246">
        <f>G65/4</f>
        <v>17465.053709869728</v>
      </c>
      <c r="L65" s="246"/>
      <c r="M65" s="246"/>
      <c r="N65" s="190">
        <f t="shared" si="24"/>
        <v>69860.214839478911</v>
      </c>
      <c r="O65" s="35"/>
      <c r="P65" s="35"/>
    </row>
    <row r="66" spans="1:16" ht="75" x14ac:dyDescent="0.25">
      <c r="A66" s="144">
        <f t="shared" si="25"/>
        <v>2114</v>
      </c>
      <c r="B66" s="128" t="s">
        <v>160</v>
      </c>
      <c r="C66" s="186"/>
      <c r="D66" s="187">
        <v>120000</v>
      </c>
      <c r="E66" s="187"/>
      <c r="F66" s="188"/>
      <c r="G66" s="234">
        <f t="shared" si="23"/>
        <v>120000</v>
      </c>
      <c r="H66" s="245"/>
      <c r="I66" s="193">
        <f>G66/5</f>
        <v>24000</v>
      </c>
      <c r="J66" s="193">
        <f>G66/5</f>
        <v>24000</v>
      </c>
      <c r="K66" s="193">
        <f>G66/5</f>
        <v>24000</v>
      </c>
      <c r="L66" s="193">
        <f>G66/5</f>
        <v>24000</v>
      </c>
      <c r="M66" s="193">
        <f>G66/5</f>
        <v>24000</v>
      </c>
      <c r="N66" s="190">
        <f t="shared" si="24"/>
        <v>120000</v>
      </c>
      <c r="O66" s="35"/>
      <c r="P66" s="35"/>
    </row>
    <row r="67" spans="1:16" ht="108" customHeight="1" x14ac:dyDescent="0.25">
      <c r="A67" s="144">
        <f t="shared" si="25"/>
        <v>2115</v>
      </c>
      <c r="B67" s="128" t="s">
        <v>162</v>
      </c>
      <c r="C67" s="186"/>
      <c r="D67" s="187">
        <v>90000</v>
      </c>
      <c r="E67" s="187"/>
      <c r="F67" s="188"/>
      <c r="G67" s="234">
        <f t="shared" si="23"/>
        <v>90000</v>
      </c>
      <c r="H67" s="245"/>
      <c r="I67" s="193">
        <f>G67/5</f>
        <v>18000</v>
      </c>
      <c r="J67" s="193">
        <f>G67/5</f>
        <v>18000</v>
      </c>
      <c r="K67" s="193">
        <f>G67/5</f>
        <v>18000</v>
      </c>
      <c r="L67" s="193">
        <f>G67/5</f>
        <v>18000</v>
      </c>
      <c r="M67" s="193">
        <f>G67/5</f>
        <v>18000</v>
      </c>
      <c r="N67" s="190">
        <f t="shared" si="24"/>
        <v>90000</v>
      </c>
      <c r="O67" s="35"/>
      <c r="P67" s="35"/>
    </row>
    <row r="68" spans="1:16" ht="90" x14ac:dyDescent="0.25">
      <c r="A68" s="144">
        <f t="shared" si="25"/>
        <v>2116</v>
      </c>
      <c r="B68" s="128" t="s">
        <v>166</v>
      </c>
      <c r="C68" s="186"/>
      <c r="D68" s="187">
        <v>90000</v>
      </c>
      <c r="E68" s="187"/>
      <c r="F68" s="188"/>
      <c r="G68" s="234">
        <f t="shared" si="23"/>
        <v>90000</v>
      </c>
      <c r="H68" s="245">
        <f>G68/4</f>
        <v>22500</v>
      </c>
      <c r="I68" s="193">
        <f>G68/4</f>
        <v>22500</v>
      </c>
      <c r="J68" s="193">
        <f>G68/4</f>
        <v>22500</v>
      </c>
      <c r="K68" s="193">
        <f>G68/4</f>
        <v>22500</v>
      </c>
      <c r="L68" s="193"/>
      <c r="M68" s="193"/>
      <c r="N68" s="190">
        <f t="shared" si="24"/>
        <v>90000</v>
      </c>
      <c r="O68" s="35"/>
      <c r="P68" s="35"/>
    </row>
    <row r="69" spans="1:16" ht="105" x14ac:dyDescent="0.25">
      <c r="A69" s="144">
        <f t="shared" si="25"/>
        <v>2117</v>
      </c>
      <c r="B69" s="128" t="s">
        <v>168</v>
      </c>
      <c r="C69" s="186"/>
      <c r="D69" s="187">
        <v>80000</v>
      </c>
      <c r="E69" s="187"/>
      <c r="F69" s="188"/>
      <c r="G69" s="234">
        <f t="shared" si="23"/>
        <v>80000</v>
      </c>
      <c r="H69" s="245">
        <f>G69/4</f>
        <v>20000</v>
      </c>
      <c r="I69" s="193">
        <f>G69/4</f>
        <v>20000</v>
      </c>
      <c r="J69" s="193">
        <f>G69/4</f>
        <v>20000</v>
      </c>
      <c r="K69" s="193">
        <f>G69/4</f>
        <v>20000</v>
      </c>
      <c r="L69" s="193"/>
      <c r="M69" s="193"/>
      <c r="N69" s="190">
        <f t="shared" si="24"/>
        <v>80000</v>
      </c>
      <c r="O69" s="35"/>
      <c r="P69" s="35"/>
    </row>
    <row r="70" spans="1:16" ht="90" x14ac:dyDescent="0.25">
      <c r="A70" s="144">
        <f t="shared" si="25"/>
        <v>2118</v>
      </c>
      <c r="B70" s="128" t="s">
        <v>169</v>
      </c>
      <c r="C70" s="186"/>
      <c r="D70" s="187">
        <v>80000</v>
      </c>
      <c r="E70" s="187"/>
      <c r="F70" s="188"/>
      <c r="G70" s="234">
        <f t="shared" si="23"/>
        <v>80000</v>
      </c>
      <c r="H70" s="245">
        <f>G70/6</f>
        <v>13333.333333333334</v>
      </c>
      <c r="I70" s="193">
        <f>G70/6</f>
        <v>13333.333333333334</v>
      </c>
      <c r="J70" s="193">
        <f>G70/6</f>
        <v>13333.333333333334</v>
      </c>
      <c r="K70" s="193">
        <f>G70/6</f>
        <v>13333.333333333334</v>
      </c>
      <c r="L70" s="193">
        <f>G70/6</f>
        <v>13333.333333333334</v>
      </c>
      <c r="M70" s="193">
        <f>G70/6</f>
        <v>13333.333333333334</v>
      </c>
      <c r="N70" s="190">
        <f t="shared" si="24"/>
        <v>80000</v>
      </c>
      <c r="O70" s="35"/>
      <c r="P70" s="35"/>
    </row>
    <row r="71" spans="1:16" ht="63" customHeight="1" x14ac:dyDescent="0.25">
      <c r="A71" s="144">
        <f t="shared" si="25"/>
        <v>2119</v>
      </c>
      <c r="B71" s="128" t="s">
        <v>170</v>
      </c>
      <c r="C71" s="186"/>
      <c r="D71" s="187">
        <v>120000</v>
      </c>
      <c r="E71" s="187"/>
      <c r="F71" s="188"/>
      <c r="G71" s="234">
        <f t="shared" si="23"/>
        <v>120000</v>
      </c>
      <c r="H71" s="245"/>
      <c r="I71" s="193"/>
      <c r="J71" s="193">
        <f>G71/4</f>
        <v>30000</v>
      </c>
      <c r="K71" s="193">
        <f>G71/4</f>
        <v>30000</v>
      </c>
      <c r="L71" s="193">
        <f>G71/4</f>
        <v>30000</v>
      </c>
      <c r="M71" s="193">
        <f>G71/4</f>
        <v>30000</v>
      </c>
      <c r="N71" s="190">
        <f t="shared" si="24"/>
        <v>120000</v>
      </c>
      <c r="O71" s="35"/>
      <c r="P71" s="35"/>
    </row>
    <row r="72" spans="1:16" ht="94.7" customHeight="1" x14ac:dyDescent="0.25">
      <c r="A72" s="144">
        <f t="shared" si="25"/>
        <v>2120</v>
      </c>
      <c r="B72" s="128" t="s">
        <v>171</v>
      </c>
      <c r="C72" s="186"/>
      <c r="D72" s="187">
        <v>200000</v>
      </c>
      <c r="E72" s="187"/>
      <c r="F72" s="188"/>
      <c r="G72" s="234">
        <f t="shared" si="23"/>
        <v>200000</v>
      </c>
      <c r="H72" s="245"/>
      <c r="I72" s="193">
        <f>G72/5</f>
        <v>40000</v>
      </c>
      <c r="J72" s="193">
        <f>G72/5</f>
        <v>40000</v>
      </c>
      <c r="K72" s="193">
        <f>G72/5</f>
        <v>40000</v>
      </c>
      <c r="L72" s="193">
        <f>G72/5</f>
        <v>40000</v>
      </c>
      <c r="M72" s="193">
        <f>G72/5</f>
        <v>40000</v>
      </c>
      <c r="N72" s="190">
        <f t="shared" si="24"/>
        <v>200000</v>
      </c>
      <c r="O72" s="35"/>
      <c r="P72" s="35"/>
    </row>
    <row r="73" spans="1:16" ht="92.25" customHeight="1" x14ac:dyDescent="0.25">
      <c r="A73" s="144">
        <f t="shared" si="25"/>
        <v>2121</v>
      </c>
      <c r="B73" s="128" t="s">
        <v>172</v>
      </c>
      <c r="C73" s="186"/>
      <c r="D73" s="187">
        <v>150000</v>
      </c>
      <c r="E73" s="187"/>
      <c r="F73" s="188"/>
      <c r="G73" s="234">
        <f t="shared" si="23"/>
        <v>150000</v>
      </c>
      <c r="H73" s="245"/>
      <c r="I73" s="193"/>
      <c r="J73" s="193">
        <f>G73/4</f>
        <v>37500</v>
      </c>
      <c r="K73" s="193">
        <f>G73/4</f>
        <v>37500</v>
      </c>
      <c r="L73" s="193">
        <f>G73/4</f>
        <v>37500</v>
      </c>
      <c r="M73" s="193">
        <f>G73/4</f>
        <v>37500</v>
      </c>
      <c r="N73" s="190">
        <f t="shared" si="24"/>
        <v>150000</v>
      </c>
      <c r="O73" s="35"/>
      <c r="P73" s="35"/>
    </row>
    <row r="74" spans="1:16" ht="80.25" customHeight="1" x14ac:dyDescent="0.25">
      <c r="A74" s="144">
        <f t="shared" si="25"/>
        <v>2122</v>
      </c>
      <c r="B74" s="128" t="s">
        <v>174</v>
      </c>
      <c r="C74" s="186"/>
      <c r="D74" s="187">
        <v>100000</v>
      </c>
      <c r="E74" s="187"/>
      <c r="F74" s="188"/>
      <c r="G74" s="234">
        <f t="shared" si="23"/>
        <v>100000</v>
      </c>
      <c r="H74" s="245"/>
      <c r="I74" s="193"/>
      <c r="J74" s="193">
        <f>G74/4</f>
        <v>25000</v>
      </c>
      <c r="K74" s="193">
        <f>G74/4</f>
        <v>25000</v>
      </c>
      <c r="L74" s="193">
        <f>G74/4</f>
        <v>25000</v>
      </c>
      <c r="M74" s="193">
        <f>G74/4</f>
        <v>25000</v>
      </c>
      <c r="N74" s="190">
        <f t="shared" si="24"/>
        <v>100000</v>
      </c>
      <c r="O74" s="35"/>
      <c r="P74" s="35"/>
    </row>
    <row r="75" spans="1:16" ht="90" x14ac:dyDescent="0.25">
      <c r="A75" s="144">
        <f t="shared" si="25"/>
        <v>2123</v>
      </c>
      <c r="B75" s="128" t="s">
        <v>175</v>
      </c>
      <c r="C75" s="186"/>
      <c r="D75" s="187">
        <v>200000</v>
      </c>
      <c r="E75" s="187"/>
      <c r="F75" s="188"/>
      <c r="G75" s="234">
        <f t="shared" si="23"/>
        <v>200000</v>
      </c>
      <c r="H75" s="245"/>
      <c r="I75" s="193"/>
      <c r="J75" s="193">
        <f>G75/4</f>
        <v>50000</v>
      </c>
      <c r="K75" s="193">
        <f>G75/4</f>
        <v>50000</v>
      </c>
      <c r="L75" s="193">
        <f>G75/4</f>
        <v>50000</v>
      </c>
      <c r="M75" s="193">
        <f>G75/4</f>
        <v>50000</v>
      </c>
      <c r="N75" s="177">
        <f t="shared" si="24"/>
        <v>200000</v>
      </c>
      <c r="O75" s="35"/>
      <c r="P75" s="35"/>
    </row>
    <row r="76" spans="1:16" ht="45" x14ac:dyDescent="0.25">
      <c r="A76" s="144">
        <f t="shared" si="25"/>
        <v>2124</v>
      </c>
      <c r="B76" s="128" t="s">
        <v>179</v>
      </c>
      <c r="C76" s="186"/>
      <c r="D76" s="187">
        <v>51889</v>
      </c>
      <c r="E76" s="187">
        <v>90000</v>
      </c>
      <c r="F76" s="188"/>
      <c r="G76" s="234">
        <f t="shared" si="23"/>
        <v>141889</v>
      </c>
      <c r="H76" s="245">
        <f>G76/6</f>
        <v>23648.166666666668</v>
      </c>
      <c r="I76" s="193">
        <f>G76/6</f>
        <v>23648.166666666668</v>
      </c>
      <c r="J76" s="193">
        <f>G76/6</f>
        <v>23648.166666666668</v>
      </c>
      <c r="K76" s="193">
        <f>G76/6</f>
        <v>23648.166666666668</v>
      </c>
      <c r="L76" s="193">
        <f>G76/6</f>
        <v>23648.166666666668</v>
      </c>
      <c r="M76" s="193">
        <f>G76/6</f>
        <v>23648.166666666668</v>
      </c>
      <c r="N76" s="177">
        <f t="shared" si="24"/>
        <v>141889</v>
      </c>
      <c r="O76" s="35"/>
      <c r="P76" s="35"/>
    </row>
    <row r="77" spans="1:16" ht="30" x14ac:dyDescent="0.25">
      <c r="A77" s="144">
        <f t="shared" si="25"/>
        <v>2125</v>
      </c>
      <c r="B77" s="128" t="s">
        <v>177</v>
      </c>
      <c r="C77" s="186"/>
      <c r="D77" s="187"/>
      <c r="E77" s="187">
        <v>60000</v>
      </c>
      <c r="F77" s="188"/>
      <c r="G77" s="234">
        <f t="shared" si="23"/>
        <v>60000</v>
      </c>
      <c r="H77" s="245">
        <f>G77/6</f>
        <v>10000</v>
      </c>
      <c r="I77" s="193">
        <f>G77/6</f>
        <v>10000</v>
      </c>
      <c r="J77" s="193">
        <f>G77/6</f>
        <v>10000</v>
      </c>
      <c r="K77" s="193">
        <f>G77/6</f>
        <v>10000</v>
      </c>
      <c r="L77" s="193">
        <f>G77/6</f>
        <v>10000</v>
      </c>
      <c r="M77" s="193">
        <f>G77/6</f>
        <v>10000</v>
      </c>
      <c r="N77" s="177">
        <f t="shared" si="24"/>
        <v>60000</v>
      </c>
      <c r="O77" s="35"/>
      <c r="P77" s="35"/>
    </row>
    <row r="78" spans="1:16" ht="45" x14ac:dyDescent="0.25">
      <c r="A78" s="144">
        <f t="shared" si="25"/>
        <v>2126</v>
      </c>
      <c r="B78" s="128" t="s">
        <v>180</v>
      </c>
      <c r="C78" s="186"/>
      <c r="D78" s="187">
        <v>25000</v>
      </c>
      <c r="E78" s="187">
        <v>15000</v>
      </c>
      <c r="F78" s="188"/>
      <c r="G78" s="234">
        <f t="shared" si="23"/>
        <v>40000</v>
      </c>
      <c r="H78" s="245"/>
      <c r="I78" s="193"/>
      <c r="J78" s="193"/>
      <c r="K78" s="193">
        <f>G78/3</f>
        <v>13333.333333333334</v>
      </c>
      <c r="L78" s="193">
        <f>G78/3</f>
        <v>13333.333333333334</v>
      </c>
      <c r="M78" s="193">
        <f>G78/3</f>
        <v>13333.333333333334</v>
      </c>
      <c r="N78" s="177">
        <f t="shared" si="24"/>
        <v>40000</v>
      </c>
      <c r="O78" s="35"/>
      <c r="P78" s="35"/>
    </row>
    <row r="79" spans="1:16" ht="30" x14ac:dyDescent="0.25">
      <c r="A79" s="144">
        <f t="shared" si="25"/>
        <v>2127</v>
      </c>
      <c r="B79" s="128" t="s">
        <v>183</v>
      </c>
      <c r="C79" s="186"/>
      <c r="D79" s="187"/>
      <c r="E79" s="187">
        <v>75000</v>
      </c>
      <c r="F79" s="188"/>
      <c r="G79" s="234">
        <f t="shared" si="23"/>
        <v>75000</v>
      </c>
      <c r="H79" s="245"/>
      <c r="I79" s="193"/>
      <c r="J79" s="193">
        <f>G79/4</f>
        <v>18750</v>
      </c>
      <c r="K79" s="193">
        <f>G79/4</f>
        <v>18750</v>
      </c>
      <c r="L79" s="193">
        <f>G79/4</f>
        <v>18750</v>
      </c>
      <c r="M79" s="193">
        <f>G79/4</f>
        <v>18750</v>
      </c>
      <c r="N79" s="177">
        <f t="shared" si="24"/>
        <v>75000</v>
      </c>
      <c r="O79" s="35"/>
      <c r="P79" s="35"/>
    </row>
    <row r="80" spans="1:16" ht="30" x14ac:dyDescent="0.25">
      <c r="A80" s="144">
        <f t="shared" si="25"/>
        <v>2128</v>
      </c>
      <c r="B80" s="128" t="s">
        <v>184</v>
      </c>
      <c r="C80" s="186"/>
      <c r="D80" s="187"/>
      <c r="E80" s="187">
        <v>80000</v>
      </c>
      <c r="F80" s="188"/>
      <c r="G80" s="234">
        <f t="shared" si="23"/>
        <v>80000</v>
      </c>
      <c r="H80" s="245"/>
      <c r="I80" s="193"/>
      <c r="J80" s="193"/>
      <c r="K80" s="193">
        <f>G80/3</f>
        <v>26666.666666666668</v>
      </c>
      <c r="L80" s="193">
        <f>G80/3</f>
        <v>26666.666666666668</v>
      </c>
      <c r="M80" s="193">
        <f>G80/3</f>
        <v>26666.666666666668</v>
      </c>
      <c r="N80" s="177">
        <f t="shared" si="24"/>
        <v>80000</v>
      </c>
      <c r="O80" s="35"/>
      <c r="P80" s="35"/>
    </row>
    <row r="81" spans="1:16" x14ac:dyDescent="0.25">
      <c r="A81" s="144"/>
      <c r="B81" s="128"/>
      <c r="C81" s="155"/>
      <c r="D81" s="129"/>
      <c r="E81" s="129"/>
      <c r="F81" s="156"/>
      <c r="G81" s="165"/>
      <c r="H81" s="191"/>
      <c r="I81" s="189"/>
      <c r="J81" s="189"/>
      <c r="K81" s="189"/>
      <c r="L81" s="189"/>
      <c r="M81" s="189"/>
      <c r="N81" s="177"/>
      <c r="O81" s="35"/>
    </row>
    <row r="82" spans="1:16" x14ac:dyDescent="0.25">
      <c r="A82" s="145">
        <v>2199</v>
      </c>
      <c r="B82" s="101" t="s">
        <v>10</v>
      </c>
      <c r="C82" s="168">
        <f t="shared" ref="C82:N82" si="26">SUM(C53:C81)</f>
        <v>425000</v>
      </c>
      <c r="D82" s="132">
        <f t="shared" si="26"/>
        <v>1971734.8244857048</v>
      </c>
      <c r="E82" s="132">
        <f t="shared" si="26"/>
        <v>360000</v>
      </c>
      <c r="F82" s="169">
        <f t="shared" si="26"/>
        <v>0</v>
      </c>
      <c r="G82" s="232">
        <f>SUM(G53:G80)</f>
        <v>2756734.8244857048</v>
      </c>
      <c r="H82" s="178">
        <f t="shared" si="26"/>
        <v>320279.88704320311</v>
      </c>
      <c r="I82" s="132">
        <f t="shared" si="26"/>
        <v>462279.88704320311</v>
      </c>
      <c r="J82" s="132">
        <f t="shared" si="26"/>
        <v>599776.28945475945</v>
      </c>
      <c r="K82" s="132">
        <f t="shared" si="26"/>
        <v>541442.95612142619</v>
      </c>
      <c r="L82" s="132">
        <f t="shared" si="26"/>
        <v>426477.90241155651</v>
      </c>
      <c r="M82" s="132">
        <f t="shared" si="26"/>
        <v>406477.90241155651</v>
      </c>
      <c r="N82" s="179">
        <f t="shared" si="26"/>
        <v>2756734.8244857048</v>
      </c>
      <c r="O82" s="35"/>
    </row>
    <row r="83" spans="1:16" x14ac:dyDescent="0.25">
      <c r="A83" s="144">
        <v>2200</v>
      </c>
      <c r="B83" s="113" t="s">
        <v>190</v>
      </c>
      <c r="C83" s="155"/>
      <c r="D83" s="129"/>
      <c r="E83" s="129"/>
      <c r="F83" s="156"/>
      <c r="G83" s="172"/>
      <c r="H83" s="157"/>
      <c r="I83" s="129"/>
      <c r="J83" s="129"/>
      <c r="K83" s="129"/>
      <c r="L83" s="129"/>
      <c r="M83" s="129"/>
      <c r="N83" s="158"/>
      <c r="O83" s="35"/>
    </row>
    <row r="84" spans="1:16" ht="45" x14ac:dyDescent="0.25">
      <c r="A84" s="144">
        <v>2201</v>
      </c>
      <c r="B84" s="128" t="s">
        <v>199</v>
      </c>
      <c r="C84" s="155">
        <v>330000</v>
      </c>
      <c r="D84" s="129"/>
      <c r="E84" s="129">
        <v>80000</v>
      </c>
      <c r="F84" s="156"/>
      <c r="G84" s="172">
        <f>SUM(C84:E84)</f>
        <v>410000</v>
      </c>
      <c r="H84" s="180">
        <f>G84*2/8</f>
        <v>102500</v>
      </c>
      <c r="I84" s="130">
        <f>G84/8</f>
        <v>51250</v>
      </c>
      <c r="J84" s="130">
        <f>G84/8</f>
        <v>51250</v>
      </c>
      <c r="K84" s="130">
        <f>G84/8</f>
        <v>51250</v>
      </c>
      <c r="L84" s="130">
        <f>G84/8</f>
        <v>51250</v>
      </c>
      <c r="M84" s="130">
        <f>G84*2/8</f>
        <v>102500</v>
      </c>
      <c r="N84" s="158">
        <f t="shared" ref="N84:N96" si="27">SUM(H84:M84)</f>
        <v>410000</v>
      </c>
      <c r="O84" s="35"/>
    </row>
    <row r="85" spans="1:16" x14ac:dyDescent="0.25">
      <c r="A85" s="144">
        <v>2202</v>
      </c>
      <c r="B85" s="111" t="s">
        <v>138</v>
      </c>
      <c r="C85" s="159">
        <v>5000</v>
      </c>
      <c r="D85" s="130">
        <v>10000</v>
      </c>
      <c r="E85" s="130">
        <v>15000</v>
      </c>
      <c r="F85" s="160"/>
      <c r="G85" s="165">
        <f>SUM(C85:F85)</f>
        <v>30000</v>
      </c>
      <c r="H85" s="180"/>
      <c r="I85" s="130">
        <f>G85/5</f>
        <v>6000</v>
      </c>
      <c r="J85" s="130">
        <f>G85/5</f>
        <v>6000</v>
      </c>
      <c r="K85" s="130">
        <f>G85/5</f>
        <v>6000</v>
      </c>
      <c r="L85" s="130">
        <f>G85/5</f>
        <v>6000</v>
      </c>
      <c r="M85" s="130">
        <f>G85/5</f>
        <v>6000</v>
      </c>
      <c r="N85" s="177">
        <f t="shared" si="27"/>
        <v>30000</v>
      </c>
      <c r="O85" s="35"/>
    </row>
    <row r="86" spans="1:16" x14ac:dyDescent="0.25">
      <c r="A86" s="144">
        <v>2203</v>
      </c>
      <c r="B86" s="108" t="s">
        <v>165</v>
      </c>
      <c r="C86" s="159"/>
      <c r="D86" s="130">
        <v>135000</v>
      </c>
      <c r="E86" s="130"/>
      <c r="F86" s="160"/>
      <c r="G86" s="172">
        <f>SUM(C86:F86)</f>
        <v>135000</v>
      </c>
      <c r="H86" s="180"/>
      <c r="I86" s="130">
        <f>G86/5</f>
        <v>27000</v>
      </c>
      <c r="J86" s="130">
        <f>G86/5</f>
        <v>27000</v>
      </c>
      <c r="K86" s="130">
        <f>G86/5</f>
        <v>27000</v>
      </c>
      <c r="L86" s="130">
        <f>G86/5</f>
        <v>27000</v>
      </c>
      <c r="M86" s="130">
        <f>G86/5</f>
        <v>27000</v>
      </c>
      <c r="N86" s="177">
        <f t="shared" si="27"/>
        <v>135000</v>
      </c>
      <c r="O86" s="35"/>
    </row>
    <row r="87" spans="1:16" x14ac:dyDescent="0.25">
      <c r="A87" s="144">
        <v>2204</v>
      </c>
      <c r="B87" s="108" t="s">
        <v>142</v>
      </c>
      <c r="C87" s="159"/>
      <c r="D87" s="130">
        <v>100000</v>
      </c>
      <c r="E87" s="130"/>
      <c r="F87" s="160"/>
      <c r="G87" s="172">
        <f>SUM(C87:F87)</f>
        <v>100000</v>
      </c>
      <c r="H87" s="180">
        <f>G87/2</f>
        <v>50000</v>
      </c>
      <c r="I87" s="130">
        <f>G87/2</f>
        <v>50000</v>
      </c>
      <c r="J87" s="130"/>
      <c r="K87" s="130"/>
      <c r="L87" s="130"/>
      <c r="M87" s="130"/>
      <c r="N87" s="177">
        <f t="shared" si="27"/>
        <v>100000</v>
      </c>
      <c r="O87" s="35"/>
    </row>
    <row r="88" spans="1:16" ht="30" x14ac:dyDescent="0.25">
      <c r="A88" s="144">
        <v>2205</v>
      </c>
      <c r="B88" s="108" t="s">
        <v>143</v>
      </c>
      <c r="C88" s="159"/>
      <c r="D88" s="130">
        <v>75000</v>
      </c>
      <c r="E88" s="130"/>
      <c r="F88" s="160"/>
      <c r="G88" s="172">
        <f t="shared" ref="G88:G92" si="28">SUM(C88:F88)</f>
        <v>75000</v>
      </c>
      <c r="H88" s="180"/>
      <c r="I88" s="130">
        <f>G88/4</f>
        <v>18750</v>
      </c>
      <c r="J88" s="130">
        <f>G88/4</f>
        <v>18750</v>
      </c>
      <c r="K88" s="130"/>
      <c r="L88" s="130">
        <f>G88/4</f>
        <v>18750</v>
      </c>
      <c r="M88" s="130">
        <f>G88/4</f>
        <v>18750</v>
      </c>
      <c r="N88" s="177">
        <f t="shared" si="27"/>
        <v>75000</v>
      </c>
      <c r="O88" s="35"/>
    </row>
    <row r="89" spans="1:16" ht="30" x14ac:dyDescent="0.25">
      <c r="A89" s="144">
        <v>2206</v>
      </c>
      <c r="B89" s="108" t="s">
        <v>150</v>
      </c>
      <c r="C89" s="159">
        <v>190000</v>
      </c>
      <c r="D89" s="130"/>
      <c r="E89" s="130">
        <v>40000</v>
      </c>
      <c r="F89" s="160"/>
      <c r="G89" s="172">
        <f t="shared" si="28"/>
        <v>230000</v>
      </c>
      <c r="H89" s="180">
        <f>G89/5</f>
        <v>46000</v>
      </c>
      <c r="I89" s="130">
        <f>G89/5</f>
        <v>46000</v>
      </c>
      <c r="J89" s="130">
        <f>G89/5</f>
        <v>46000</v>
      </c>
      <c r="K89" s="130">
        <f>G89/5</f>
        <v>46000</v>
      </c>
      <c r="L89" s="130">
        <f>G89/5</f>
        <v>46000</v>
      </c>
      <c r="M89" s="130"/>
      <c r="N89" s="177">
        <f t="shared" si="27"/>
        <v>230000</v>
      </c>
      <c r="O89" s="35"/>
    </row>
    <row r="90" spans="1:16" ht="30" x14ac:dyDescent="0.25">
      <c r="A90" s="144">
        <v>2207</v>
      </c>
      <c r="B90" s="108" t="s">
        <v>156</v>
      </c>
      <c r="C90" s="159"/>
      <c r="D90" s="130">
        <v>80000</v>
      </c>
      <c r="E90" s="130"/>
      <c r="F90" s="160"/>
      <c r="G90" s="172">
        <f t="shared" si="28"/>
        <v>80000</v>
      </c>
      <c r="H90" s="180"/>
      <c r="I90" s="130"/>
      <c r="J90" s="130">
        <f>G90/4</f>
        <v>20000</v>
      </c>
      <c r="K90" s="130">
        <f>G90/4</f>
        <v>20000</v>
      </c>
      <c r="L90" s="130">
        <f>G90/4</f>
        <v>20000</v>
      </c>
      <c r="M90" s="130">
        <f>G90/4</f>
        <v>20000</v>
      </c>
      <c r="N90" s="177">
        <f t="shared" si="27"/>
        <v>80000</v>
      </c>
      <c r="O90" s="35"/>
    </row>
    <row r="91" spans="1:16" ht="45" x14ac:dyDescent="0.25">
      <c r="A91" s="144">
        <v>2208</v>
      </c>
      <c r="B91" s="108" t="s">
        <v>164</v>
      </c>
      <c r="C91" s="159"/>
      <c r="D91" s="130">
        <v>125000</v>
      </c>
      <c r="E91" s="130"/>
      <c r="F91" s="160"/>
      <c r="G91" s="172">
        <f t="shared" si="28"/>
        <v>125000</v>
      </c>
      <c r="H91" s="180"/>
      <c r="I91" s="130">
        <f>G91/4</f>
        <v>31250</v>
      </c>
      <c r="J91" s="130">
        <f>G91/4</f>
        <v>31250</v>
      </c>
      <c r="K91" s="130">
        <f>G91/4</f>
        <v>31250</v>
      </c>
      <c r="L91" s="130">
        <f>G91/4</f>
        <v>31250</v>
      </c>
      <c r="M91" s="130"/>
      <c r="N91" s="177">
        <f t="shared" si="27"/>
        <v>125000</v>
      </c>
      <c r="O91" s="35"/>
    </row>
    <row r="92" spans="1:16" ht="30" x14ac:dyDescent="0.25">
      <c r="A92" s="144">
        <v>2209</v>
      </c>
      <c r="B92" s="108" t="s">
        <v>163</v>
      </c>
      <c r="C92" s="159"/>
      <c r="D92" s="130">
        <v>50000</v>
      </c>
      <c r="E92" s="130"/>
      <c r="F92" s="160"/>
      <c r="G92" s="172">
        <f t="shared" si="28"/>
        <v>50000</v>
      </c>
      <c r="H92" s="180"/>
      <c r="I92" s="130">
        <f>G92/2</f>
        <v>25000</v>
      </c>
      <c r="J92" s="130">
        <f>G92/2</f>
        <v>25000</v>
      </c>
      <c r="K92" s="130"/>
      <c r="L92" s="130"/>
      <c r="M92" s="130"/>
      <c r="N92" s="177">
        <f t="shared" si="27"/>
        <v>50000</v>
      </c>
      <c r="O92" s="35"/>
    </row>
    <row r="93" spans="1:16" ht="60" x14ac:dyDescent="0.25">
      <c r="A93" s="144">
        <v>2208</v>
      </c>
      <c r="B93" s="108" t="s">
        <v>173</v>
      </c>
      <c r="C93" s="159"/>
      <c r="D93" s="130">
        <f>130000-0.13</f>
        <v>129999.87</v>
      </c>
      <c r="E93" s="130"/>
      <c r="F93" s="160"/>
      <c r="G93" s="172">
        <f>SUM(C93:F93)</f>
        <v>129999.87</v>
      </c>
      <c r="H93" s="180"/>
      <c r="I93" s="130">
        <f>G93/4</f>
        <v>32499.967499999999</v>
      </c>
      <c r="J93" s="130">
        <f>G93/4</f>
        <v>32499.967499999999</v>
      </c>
      <c r="K93" s="130">
        <f>G93/4</f>
        <v>32499.967499999999</v>
      </c>
      <c r="L93" s="130">
        <f>G93/4</f>
        <v>32499.967499999999</v>
      </c>
      <c r="M93" s="130"/>
      <c r="N93" s="177">
        <f t="shared" si="27"/>
        <v>129999.87</v>
      </c>
      <c r="O93" s="35"/>
      <c r="P93" s="35"/>
    </row>
    <row r="94" spans="1:16" ht="30" x14ac:dyDescent="0.25">
      <c r="A94" s="144">
        <v>2209</v>
      </c>
      <c r="B94" s="108" t="s">
        <v>178</v>
      </c>
      <c r="C94" s="159">
        <v>15000</v>
      </c>
      <c r="D94" s="130"/>
      <c r="E94" s="130">
        <v>20000</v>
      </c>
      <c r="F94" s="160"/>
      <c r="G94" s="172">
        <f t="shared" ref="G94:G96" si="29">SUM(C94:F94)</f>
        <v>35000</v>
      </c>
      <c r="H94" s="180"/>
      <c r="I94" s="130">
        <f>G94/2</f>
        <v>17500</v>
      </c>
      <c r="J94" s="130">
        <f>G94/2</f>
        <v>17500</v>
      </c>
      <c r="K94" s="130"/>
      <c r="L94" s="130"/>
      <c r="M94" s="130"/>
      <c r="N94" s="177">
        <f t="shared" si="27"/>
        <v>35000</v>
      </c>
      <c r="O94" s="35"/>
    </row>
    <row r="95" spans="1:16" ht="30" x14ac:dyDescent="0.25">
      <c r="A95" s="142">
        <v>2210</v>
      </c>
      <c r="B95" s="108" t="s">
        <v>181</v>
      </c>
      <c r="C95" s="194"/>
      <c r="D95" s="195"/>
      <c r="E95" s="130">
        <v>35000</v>
      </c>
      <c r="F95" s="195"/>
      <c r="G95" s="172">
        <f t="shared" si="29"/>
        <v>35000</v>
      </c>
      <c r="H95" s="243"/>
      <c r="I95" s="244"/>
      <c r="J95" s="244"/>
      <c r="K95" s="130">
        <f>G95/2</f>
        <v>17500</v>
      </c>
      <c r="L95" s="130">
        <f>G95/2</f>
        <v>17500</v>
      </c>
      <c r="M95" s="244"/>
      <c r="N95" s="177">
        <f t="shared" si="27"/>
        <v>35000</v>
      </c>
      <c r="O95" s="35"/>
    </row>
    <row r="96" spans="1:16" ht="30" x14ac:dyDescent="0.25">
      <c r="A96" s="144">
        <v>2211</v>
      </c>
      <c r="B96" s="108" t="s">
        <v>182</v>
      </c>
      <c r="C96" s="159"/>
      <c r="D96" s="130"/>
      <c r="E96" s="130">
        <v>45000</v>
      </c>
      <c r="F96" s="160"/>
      <c r="G96" s="172">
        <f t="shared" si="29"/>
        <v>45000</v>
      </c>
      <c r="H96" s="180"/>
      <c r="I96" s="130"/>
      <c r="J96" s="130">
        <f>G96</f>
        <v>45000</v>
      </c>
      <c r="K96" s="130"/>
      <c r="L96" s="130"/>
      <c r="M96" s="130"/>
      <c r="N96" s="177">
        <f t="shared" si="27"/>
        <v>45000</v>
      </c>
      <c r="O96" s="35"/>
    </row>
    <row r="97" spans="1:16" x14ac:dyDescent="0.25">
      <c r="A97" s="142"/>
      <c r="B97" s="98"/>
      <c r="C97" s="194"/>
      <c r="D97" s="195"/>
      <c r="E97" s="195"/>
      <c r="F97" s="195"/>
      <c r="G97" s="235"/>
      <c r="H97" s="196"/>
      <c r="I97" s="195"/>
      <c r="J97" s="195"/>
      <c r="K97" s="195"/>
      <c r="L97" s="195"/>
      <c r="M97" s="195"/>
      <c r="N97" s="197"/>
    </row>
    <row r="98" spans="1:16" x14ac:dyDescent="0.25">
      <c r="A98" s="145">
        <v>2299</v>
      </c>
      <c r="B98" s="101" t="s">
        <v>10</v>
      </c>
      <c r="C98" s="168">
        <f>SUM(C84:C96)</f>
        <v>540000</v>
      </c>
      <c r="D98" s="168">
        <f t="shared" ref="D98:F98" si="30">SUM(D84:D96)</f>
        <v>704999.87</v>
      </c>
      <c r="E98" s="168">
        <f t="shared" si="30"/>
        <v>235000</v>
      </c>
      <c r="F98" s="168">
        <f t="shared" si="30"/>
        <v>0</v>
      </c>
      <c r="G98" s="168">
        <f>SUM(G84:G96)</f>
        <v>1479999.87</v>
      </c>
      <c r="H98" s="178">
        <f>SUM(H84:H96)</f>
        <v>198500</v>
      </c>
      <c r="I98" s="178">
        <f t="shared" ref="I98:M98" si="31">SUM(I84:I96)</f>
        <v>305249.96750000003</v>
      </c>
      <c r="J98" s="178">
        <f t="shared" si="31"/>
        <v>320249.96750000003</v>
      </c>
      <c r="K98" s="178">
        <f t="shared" si="31"/>
        <v>231499.9675</v>
      </c>
      <c r="L98" s="178">
        <f t="shared" si="31"/>
        <v>250249.9675</v>
      </c>
      <c r="M98" s="178">
        <f t="shared" si="31"/>
        <v>174250</v>
      </c>
      <c r="N98" s="179">
        <f>SUM(N84:N96)</f>
        <v>1479999.87</v>
      </c>
      <c r="O98" s="35"/>
    </row>
    <row r="99" spans="1:16" x14ac:dyDescent="0.25">
      <c r="A99" s="146"/>
      <c r="B99" s="103"/>
      <c r="C99" s="159"/>
      <c r="D99" s="130"/>
      <c r="E99" s="130"/>
      <c r="F99" s="160"/>
      <c r="G99" s="165"/>
      <c r="H99" s="180"/>
      <c r="I99" s="130"/>
      <c r="J99" s="130"/>
      <c r="K99" s="130"/>
      <c r="L99" s="130"/>
      <c r="M99" s="130"/>
      <c r="N99" s="177"/>
      <c r="O99" s="35"/>
    </row>
    <row r="100" spans="1:16" x14ac:dyDescent="0.25">
      <c r="A100" s="147">
        <v>2999</v>
      </c>
      <c r="B100" s="104" t="s">
        <v>11</v>
      </c>
      <c r="C100" s="181">
        <f t="shared" ref="C100:N100" si="32">SUM(C82,C98)</f>
        <v>965000</v>
      </c>
      <c r="D100" s="182">
        <f t="shared" si="32"/>
        <v>2676734.6944857049</v>
      </c>
      <c r="E100" s="182">
        <f t="shared" si="32"/>
        <v>595000</v>
      </c>
      <c r="F100" s="183">
        <f t="shared" si="32"/>
        <v>0</v>
      </c>
      <c r="G100" s="233">
        <f>SUM(G82,G98)</f>
        <v>4236734.6944857053</v>
      </c>
      <c r="H100" s="184">
        <f t="shared" si="32"/>
        <v>518779.88704320311</v>
      </c>
      <c r="I100" s="182">
        <f t="shared" si="32"/>
        <v>767529.85454320314</v>
      </c>
      <c r="J100" s="182">
        <f t="shared" si="32"/>
        <v>920026.25695475948</v>
      </c>
      <c r="K100" s="182">
        <f t="shared" si="32"/>
        <v>772942.92362142622</v>
      </c>
      <c r="L100" s="182">
        <f t="shared" si="32"/>
        <v>676727.86991155648</v>
      </c>
      <c r="M100" s="182">
        <f t="shared" si="32"/>
        <v>580727.90241155657</v>
      </c>
      <c r="N100" s="185">
        <f t="shared" si="32"/>
        <v>4236734.6944857053</v>
      </c>
      <c r="O100" s="35"/>
    </row>
    <row r="101" spans="1:16" x14ac:dyDescent="0.25">
      <c r="A101" s="144"/>
      <c r="B101" s="105"/>
      <c r="C101" s="155"/>
      <c r="D101" s="129"/>
      <c r="E101" s="129"/>
      <c r="F101" s="156"/>
      <c r="G101" s="172"/>
      <c r="H101" s="157"/>
      <c r="I101" s="129"/>
      <c r="J101" s="129"/>
      <c r="K101" s="129"/>
      <c r="L101" s="129"/>
      <c r="M101" s="129"/>
      <c r="N101" s="158"/>
      <c r="O101" s="35"/>
    </row>
    <row r="102" spans="1:16" x14ac:dyDescent="0.25">
      <c r="A102" s="148">
        <v>30</v>
      </c>
      <c r="B102" s="128" t="s">
        <v>13</v>
      </c>
      <c r="C102" s="155"/>
      <c r="D102" s="129"/>
      <c r="E102" s="129"/>
      <c r="F102" s="156"/>
      <c r="G102" s="172"/>
      <c r="H102" s="157"/>
      <c r="I102" s="129"/>
      <c r="J102" s="129"/>
      <c r="K102" s="129"/>
      <c r="L102" s="129"/>
      <c r="M102" s="129"/>
      <c r="N102" s="158"/>
      <c r="O102" s="35"/>
    </row>
    <row r="103" spans="1:16" x14ac:dyDescent="0.25">
      <c r="A103" s="144">
        <v>3200</v>
      </c>
      <c r="B103" s="113" t="s">
        <v>191</v>
      </c>
      <c r="C103" s="155"/>
      <c r="D103" s="129"/>
      <c r="E103" s="129"/>
      <c r="F103" s="156"/>
      <c r="G103" s="172"/>
      <c r="H103" s="157"/>
      <c r="I103" s="129"/>
      <c r="J103" s="129"/>
      <c r="K103" s="129"/>
      <c r="L103" s="129"/>
      <c r="M103" s="129"/>
      <c r="N103" s="158"/>
      <c r="O103" s="35"/>
    </row>
    <row r="104" spans="1:16" x14ac:dyDescent="0.25">
      <c r="A104" s="144">
        <v>3201</v>
      </c>
      <c r="B104" s="103" t="s">
        <v>130</v>
      </c>
      <c r="C104" s="198">
        <v>30000</v>
      </c>
      <c r="D104" s="130">
        <v>70000</v>
      </c>
      <c r="E104" s="130">
        <v>0</v>
      </c>
      <c r="F104" s="160"/>
      <c r="G104" s="172">
        <f>SUM(C104:F104)</f>
        <v>100000</v>
      </c>
      <c r="H104" s="247">
        <f>G104*2/7</f>
        <v>28571.428571428572</v>
      </c>
      <c r="I104" s="248">
        <f>G104*2/7</f>
        <v>28571.428571428572</v>
      </c>
      <c r="J104" s="248">
        <f>G104/7</f>
        <v>14285.714285714286</v>
      </c>
      <c r="K104" s="248">
        <f>G104/7</f>
        <v>14285.714285714286</v>
      </c>
      <c r="L104" s="248">
        <f>G104/7</f>
        <v>14285.714285714286</v>
      </c>
      <c r="M104" s="248"/>
      <c r="N104" s="199">
        <f t="shared" ref="N104" si="33">SUM(H104:M104)</f>
        <v>100000.00000000001</v>
      </c>
      <c r="O104" s="35"/>
    </row>
    <row r="105" spans="1:16" x14ac:dyDescent="0.25">
      <c r="A105" s="144"/>
      <c r="B105" s="103"/>
      <c r="C105" s="198"/>
      <c r="D105" s="130"/>
      <c r="E105" s="130"/>
      <c r="F105" s="160"/>
      <c r="G105" s="172"/>
      <c r="H105" s="239"/>
      <c r="I105" s="134"/>
      <c r="J105" s="134"/>
      <c r="K105" s="134"/>
      <c r="L105" s="134"/>
      <c r="M105" s="134"/>
      <c r="N105" s="199"/>
      <c r="O105" s="35"/>
    </row>
    <row r="106" spans="1:16" x14ac:dyDescent="0.25">
      <c r="A106" s="145">
        <v>3299</v>
      </c>
      <c r="B106" s="101" t="s">
        <v>10</v>
      </c>
      <c r="C106" s="168">
        <f>SUM(C104)</f>
        <v>30000</v>
      </c>
      <c r="D106" s="132">
        <f t="shared" ref="D106:M106" si="34">SUM(D104)</f>
        <v>70000</v>
      </c>
      <c r="E106" s="132">
        <f t="shared" si="34"/>
        <v>0</v>
      </c>
      <c r="F106" s="169">
        <f t="shared" si="34"/>
        <v>0</v>
      </c>
      <c r="G106" s="232">
        <f>SUM(G104:G105)</f>
        <v>100000</v>
      </c>
      <c r="H106" s="178">
        <f t="shared" si="34"/>
        <v>28571.428571428572</v>
      </c>
      <c r="I106" s="132">
        <f>SUM(I104)</f>
        <v>28571.428571428572</v>
      </c>
      <c r="J106" s="132">
        <f t="shared" si="34"/>
        <v>14285.714285714286</v>
      </c>
      <c r="K106" s="132">
        <f t="shared" si="34"/>
        <v>14285.714285714286</v>
      </c>
      <c r="L106" s="132">
        <f t="shared" si="34"/>
        <v>14285.714285714286</v>
      </c>
      <c r="M106" s="132">
        <f t="shared" si="34"/>
        <v>0</v>
      </c>
      <c r="N106" s="179">
        <f>SUM(N104)</f>
        <v>100000.00000000001</v>
      </c>
      <c r="O106" s="35"/>
    </row>
    <row r="107" spans="1:16" x14ac:dyDescent="0.25">
      <c r="A107" s="144">
        <v>3300</v>
      </c>
      <c r="B107" s="113" t="s">
        <v>192</v>
      </c>
      <c r="C107" s="155"/>
      <c r="D107" s="129"/>
      <c r="E107" s="129"/>
      <c r="F107" s="156"/>
      <c r="G107" s="172"/>
      <c r="H107" s="157"/>
      <c r="I107" s="129"/>
      <c r="J107" s="129"/>
      <c r="K107" s="129"/>
      <c r="L107" s="129"/>
      <c r="M107" s="129"/>
      <c r="N107" s="158"/>
      <c r="O107" s="35"/>
    </row>
    <row r="108" spans="1:16" x14ac:dyDescent="0.25">
      <c r="A108" s="144">
        <v>3301</v>
      </c>
      <c r="B108" s="128" t="s">
        <v>131</v>
      </c>
      <c r="C108" s="155">
        <v>20000</v>
      </c>
      <c r="D108" s="129"/>
      <c r="E108" s="129"/>
      <c r="F108" s="156"/>
      <c r="G108" s="172">
        <f>SUM(C108:F108)</f>
        <v>20000</v>
      </c>
      <c r="H108" s="157">
        <v>20000</v>
      </c>
      <c r="I108" s="129"/>
      <c r="J108" s="129"/>
      <c r="K108" s="129"/>
      <c r="L108" s="129"/>
      <c r="M108" s="129"/>
      <c r="N108" s="158">
        <f t="shared" ref="N108:N111" si="35">SUM(H108:M108)</f>
        <v>20000</v>
      </c>
      <c r="O108" s="35"/>
    </row>
    <row r="109" spans="1:16" x14ac:dyDescent="0.25">
      <c r="A109" s="144">
        <v>3302</v>
      </c>
      <c r="B109" s="107" t="s">
        <v>132</v>
      </c>
      <c r="C109" s="200">
        <v>65000</v>
      </c>
      <c r="D109" s="129">
        <v>100000</v>
      </c>
      <c r="E109" s="130">
        <v>15000</v>
      </c>
      <c r="F109" s="160"/>
      <c r="G109" s="172">
        <f>SUM(C109:F109)</f>
        <v>180000</v>
      </c>
      <c r="H109" s="196"/>
      <c r="I109" s="130">
        <f>G109/5</f>
        <v>36000</v>
      </c>
      <c r="J109" s="130">
        <f>G109/5</f>
        <v>36000</v>
      </c>
      <c r="K109" s="130">
        <f>G109/5</f>
        <v>36000</v>
      </c>
      <c r="L109" s="130">
        <f>G109/5</f>
        <v>36000</v>
      </c>
      <c r="M109" s="130">
        <f>G109/5</f>
        <v>36000</v>
      </c>
      <c r="N109" s="177">
        <f t="shared" si="35"/>
        <v>180000</v>
      </c>
      <c r="O109" s="35"/>
    </row>
    <row r="110" spans="1:16" ht="30" x14ac:dyDescent="0.25">
      <c r="A110" s="144">
        <v>3303</v>
      </c>
      <c r="B110" s="107" t="s">
        <v>149</v>
      </c>
      <c r="C110" s="200">
        <v>10000</v>
      </c>
      <c r="D110" s="129">
        <v>25000</v>
      </c>
      <c r="E110" s="130">
        <v>0</v>
      </c>
      <c r="F110" s="160"/>
      <c r="G110" s="172">
        <f>SUM(C110:F110)</f>
        <v>35000</v>
      </c>
      <c r="H110" s="243">
        <f>G110/6</f>
        <v>5833.333333333333</v>
      </c>
      <c r="I110" s="130">
        <f>G110/6</f>
        <v>5833.333333333333</v>
      </c>
      <c r="J110" s="130">
        <f>G110/6</f>
        <v>5833.333333333333</v>
      </c>
      <c r="K110" s="130">
        <f>G110/6</f>
        <v>5833.333333333333</v>
      </c>
      <c r="L110" s="130">
        <f>G110/6</f>
        <v>5833.333333333333</v>
      </c>
      <c r="M110" s="130">
        <f>G110/6</f>
        <v>5833.333333333333</v>
      </c>
      <c r="N110" s="177">
        <f t="shared" si="35"/>
        <v>35000</v>
      </c>
      <c r="O110" s="35"/>
    </row>
    <row r="111" spans="1:16" x14ac:dyDescent="0.25">
      <c r="A111" s="144">
        <v>3304</v>
      </c>
      <c r="B111" s="99" t="s">
        <v>72</v>
      </c>
      <c r="C111" s="159"/>
      <c r="D111" s="130"/>
      <c r="E111" s="130"/>
      <c r="F111" s="160">
        <v>95000</v>
      </c>
      <c r="G111" s="172">
        <f>SUM(C111:F111)</f>
        <v>95000</v>
      </c>
      <c r="H111" s="157">
        <v>20000</v>
      </c>
      <c r="I111" s="129">
        <v>15000</v>
      </c>
      <c r="J111" s="129">
        <v>15000</v>
      </c>
      <c r="K111" s="129">
        <v>15000</v>
      </c>
      <c r="L111" s="129">
        <v>15000</v>
      </c>
      <c r="M111" s="242">
        <v>15000</v>
      </c>
      <c r="N111" s="242">
        <f t="shared" si="35"/>
        <v>95000</v>
      </c>
      <c r="O111" s="216"/>
      <c r="P111" s="34"/>
    </row>
    <row r="112" spans="1:16" x14ac:dyDescent="0.25">
      <c r="A112" s="144"/>
      <c r="B112" s="99"/>
      <c r="C112" s="159"/>
      <c r="D112" s="130"/>
      <c r="E112" s="130"/>
      <c r="F112" s="160"/>
      <c r="G112" s="172"/>
      <c r="H112" s="157"/>
      <c r="I112" s="129"/>
      <c r="J112" s="129"/>
      <c r="K112" s="129"/>
      <c r="L112" s="129"/>
      <c r="M112" s="237"/>
      <c r="N112" s="176"/>
      <c r="O112" s="216"/>
      <c r="P112" s="34"/>
    </row>
    <row r="113" spans="1:15" x14ac:dyDescent="0.25">
      <c r="A113" s="145">
        <v>3399</v>
      </c>
      <c r="B113" s="101" t="s">
        <v>10</v>
      </c>
      <c r="C113" s="168">
        <f>SUM(C108:C111)</f>
        <v>95000</v>
      </c>
      <c r="D113" s="132">
        <f t="shared" ref="D113:F113" si="36">SUM(D108:D111)</f>
        <v>125000</v>
      </c>
      <c r="E113" s="132">
        <f t="shared" si="36"/>
        <v>15000</v>
      </c>
      <c r="F113" s="169">
        <f t="shared" si="36"/>
        <v>95000</v>
      </c>
      <c r="G113" s="232">
        <f>SUM(G108:G112)</f>
        <v>330000</v>
      </c>
      <c r="H113" s="178">
        <f>SUM(H108:H111)</f>
        <v>45833.333333333328</v>
      </c>
      <c r="I113" s="132">
        <f t="shared" ref="I113:M113" si="37">SUM(I108:I111)</f>
        <v>56833.333333333336</v>
      </c>
      <c r="J113" s="132">
        <f t="shared" si="37"/>
        <v>56833.333333333336</v>
      </c>
      <c r="K113" s="132">
        <f t="shared" si="37"/>
        <v>56833.333333333336</v>
      </c>
      <c r="L113" s="132">
        <f t="shared" si="37"/>
        <v>56833.333333333336</v>
      </c>
      <c r="M113" s="132">
        <f t="shared" si="37"/>
        <v>56833.333333333336</v>
      </c>
      <c r="N113" s="179">
        <f>SUM(N108:N111)</f>
        <v>330000</v>
      </c>
    </row>
    <row r="114" spans="1:15" s="6" customFormat="1" x14ac:dyDescent="0.25">
      <c r="A114" s="146"/>
      <c r="B114" s="103"/>
      <c r="C114" s="159"/>
      <c r="D114" s="130"/>
      <c r="E114" s="130"/>
      <c r="F114" s="160"/>
      <c r="G114" s="165"/>
      <c r="H114" s="180"/>
      <c r="I114" s="130"/>
      <c r="J114" s="130"/>
      <c r="K114" s="130"/>
      <c r="L114" s="130"/>
      <c r="M114" s="130"/>
      <c r="N114" s="177"/>
      <c r="O114" s="2"/>
    </row>
    <row r="115" spans="1:15" x14ac:dyDescent="0.25">
      <c r="A115" s="147">
        <v>3999</v>
      </c>
      <c r="B115" s="104" t="s">
        <v>11</v>
      </c>
      <c r="C115" s="181">
        <f t="shared" ref="C115:F115" si="38">SUM(C106,C113)</f>
        <v>125000</v>
      </c>
      <c r="D115" s="182">
        <f t="shared" si="38"/>
        <v>195000</v>
      </c>
      <c r="E115" s="182">
        <f t="shared" si="38"/>
        <v>15000</v>
      </c>
      <c r="F115" s="183">
        <f t="shared" si="38"/>
        <v>95000</v>
      </c>
      <c r="G115" s="233">
        <f>SUM(G106,G113)</f>
        <v>430000</v>
      </c>
      <c r="H115" s="184">
        <f>SUM(H106,H113)</f>
        <v>74404.761904761894</v>
      </c>
      <c r="I115" s="182">
        <f t="shared" ref="I115:N115" si="39">SUM(I106,I113)</f>
        <v>85404.761904761908</v>
      </c>
      <c r="J115" s="182">
        <f t="shared" si="39"/>
        <v>71119.047619047618</v>
      </c>
      <c r="K115" s="182">
        <f t="shared" si="39"/>
        <v>71119.047619047618</v>
      </c>
      <c r="L115" s="182">
        <f t="shared" si="39"/>
        <v>71119.047619047618</v>
      </c>
      <c r="M115" s="182">
        <f t="shared" si="39"/>
        <v>56833.333333333336</v>
      </c>
      <c r="N115" s="185">
        <f t="shared" si="39"/>
        <v>430000</v>
      </c>
      <c r="O115" s="215"/>
    </row>
    <row r="116" spans="1:15" x14ac:dyDescent="0.25">
      <c r="A116" s="144"/>
      <c r="B116" s="128"/>
      <c r="C116" s="155"/>
      <c r="D116" s="129"/>
      <c r="E116" s="129"/>
      <c r="F116" s="156"/>
      <c r="G116" s="172"/>
      <c r="H116" s="157"/>
      <c r="I116" s="129"/>
      <c r="J116" s="129"/>
      <c r="K116" s="129"/>
      <c r="L116" s="129"/>
      <c r="M116" s="129"/>
      <c r="N116" s="158"/>
    </row>
    <row r="117" spans="1:15" x14ac:dyDescent="0.25">
      <c r="A117" s="148">
        <v>40</v>
      </c>
      <c r="B117" s="128" t="s">
        <v>14</v>
      </c>
      <c r="C117" s="155"/>
      <c r="D117" s="129"/>
      <c r="E117" s="129"/>
      <c r="F117" s="156"/>
      <c r="G117" s="172"/>
      <c r="H117" s="157"/>
      <c r="I117" s="129"/>
      <c r="J117" s="129"/>
      <c r="K117" s="129"/>
      <c r="L117" s="129"/>
      <c r="M117" s="129"/>
      <c r="N117" s="158"/>
    </row>
    <row r="118" spans="1:15" x14ac:dyDescent="0.25">
      <c r="A118" s="144">
        <v>4100</v>
      </c>
      <c r="B118" s="113" t="s">
        <v>134</v>
      </c>
      <c r="C118" s="155"/>
      <c r="D118" s="129"/>
      <c r="E118" s="129"/>
      <c r="F118" s="156"/>
      <c r="G118" s="172"/>
      <c r="H118" s="157"/>
      <c r="I118" s="129"/>
      <c r="J118" s="129"/>
      <c r="K118" s="129"/>
      <c r="L118" s="129"/>
      <c r="M118" s="129"/>
      <c r="N118" s="158"/>
    </row>
    <row r="119" spans="1:15" x14ac:dyDescent="0.25">
      <c r="A119" s="144">
        <v>4101</v>
      </c>
      <c r="B119" s="128" t="s">
        <v>133</v>
      </c>
      <c r="C119" s="155">
        <v>4000</v>
      </c>
      <c r="D119" s="129">
        <v>2000</v>
      </c>
      <c r="E119" s="129">
        <v>2000</v>
      </c>
      <c r="F119" s="156"/>
      <c r="G119" s="172">
        <f>SUM(C119:F119)</f>
        <v>8000</v>
      </c>
      <c r="H119" s="180">
        <f>G119/6</f>
        <v>1333.3333333333333</v>
      </c>
      <c r="I119" s="130">
        <f>G119/6</f>
        <v>1333.3333333333333</v>
      </c>
      <c r="J119" s="130">
        <f>G119/6</f>
        <v>1333.3333333333333</v>
      </c>
      <c r="K119" s="130">
        <f>G119/6</f>
        <v>1333.3333333333333</v>
      </c>
      <c r="L119" s="130">
        <f>G119/6</f>
        <v>1333.3333333333333</v>
      </c>
      <c r="M119" s="130">
        <f>G119/6</f>
        <v>1333.3333333333333</v>
      </c>
      <c r="N119" s="158">
        <f t="shared" ref="N119:N123" si="40">SUM(H119:M119)</f>
        <v>7999.9999999999991</v>
      </c>
      <c r="O119" s="35"/>
    </row>
    <row r="120" spans="1:15" x14ac:dyDescent="0.25">
      <c r="A120" s="144">
        <v>4201</v>
      </c>
      <c r="B120" s="113" t="s">
        <v>135</v>
      </c>
      <c r="C120" s="155"/>
      <c r="D120" s="129"/>
      <c r="E120" s="129"/>
      <c r="F120" s="156"/>
      <c r="G120" s="172"/>
      <c r="H120" s="180"/>
      <c r="I120" s="130"/>
      <c r="J120" s="130"/>
      <c r="K120" s="130"/>
      <c r="L120" s="130"/>
      <c r="M120" s="130"/>
      <c r="N120" s="158"/>
      <c r="O120" s="35"/>
    </row>
    <row r="121" spans="1:15" x14ac:dyDescent="0.25">
      <c r="A121" s="144">
        <v>4202</v>
      </c>
      <c r="B121" s="99" t="s">
        <v>151</v>
      </c>
      <c r="C121" s="159">
        <v>15000</v>
      </c>
      <c r="D121" s="130">
        <v>15000</v>
      </c>
      <c r="E121" s="130"/>
      <c r="F121" s="160">
        <v>17440</v>
      </c>
      <c r="G121" s="172">
        <f>SUM(C121:F121)</f>
        <v>47440</v>
      </c>
      <c r="H121" s="180">
        <f>G121/3</f>
        <v>15813.333333333334</v>
      </c>
      <c r="I121" s="130">
        <f>G121/3</f>
        <v>15813.333333333334</v>
      </c>
      <c r="J121" s="130"/>
      <c r="K121" s="130">
        <f>G121/3</f>
        <v>15813.333333333334</v>
      </c>
      <c r="L121" s="130"/>
      <c r="M121" s="130"/>
      <c r="N121" s="177">
        <f t="shared" si="40"/>
        <v>47440</v>
      </c>
      <c r="O121" s="35"/>
    </row>
    <row r="122" spans="1:15" x14ac:dyDescent="0.25">
      <c r="A122" s="144">
        <v>4203</v>
      </c>
      <c r="B122" s="107" t="s">
        <v>129</v>
      </c>
      <c r="C122" s="159">
        <v>0</v>
      </c>
      <c r="D122" s="130">
        <v>25000</v>
      </c>
      <c r="E122" s="130">
        <v>35000</v>
      </c>
      <c r="F122" s="160"/>
      <c r="G122" s="172">
        <f>SUM(C122:F122)</f>
        <v>60000</v>
      </c>
      <c r="H122" s="180">
        <f>G122/4</f>
        <v>15000</v>
      </c>
      <c r="I122" s="130">
        <f>G122/4</f>
        <v>15000</v>
      </c>
      <c r="J122" s="130"/>
      <c r="K122" s="130">
        <f>G122/4</f>
        <v>15000</v>
      </c>
      <c r="L122" s="130">
        <f>G122/4</f>
        <v>15000</v>
      </c>
      <c r="M122" s="130"/>
      <c r="N122" s="177">
        <f t="shared" si="40"/>
        <v>60000</v>
      </c>
      <c r="O122" s="35"/>
    </row>
    <row r="123" spans="1:15" x14ac:dyDescent="0.25">
      <c r="A123" s="144">
        <v>4204</v>
      </c>
      <c r="B123" s="99" t="s">
        <v>136</v>
      </c>
      <c r="C123" s="159">
        <v>10000</v>
      </c>
      <c r="D123" s="130"/>
      <c r="E123" s="130">
        <v>15000</v>
      </c>
      <c r="F123" s="160"/>
      <c r="G123" s="172">
        <f>SUM(C123:E123)</f>
        <v>25000</v>
      </c>
      <c r="H123" s="180">
        <f>G123/2</f>
        <v>12500</v>
      </c>
      <c r="I123" s="130"/>
      <c r="J123" s="130">
        <f>G123/2</f>
        <v>12500</v>
      </c>
      <c r="K123" s="130"/>
      <c r="L123" s="130"/>
      <c r="M123" s="130"/>
      <c r="N123" s="177">
        <f t="shared" si="40"/>
        <v>25000</v>
      </c>
      <c r="O123" s="35"/>
    </row>
    <row r="124" spans="1:15" x14ac:dyDescent="0.25">
      <c r="A124" s="144"/>
      <c r="B124" s="99"/>
      <c r="C124" s="159"/>
      <c r="D124" s="130"/>
      <c r="E124" s="130"/>
      <c r="F124" s="160"/>
      <c r="G124" s="172"/>
      <c r="H124" s="238"/>
      <c r="I124" s="131"/>
      <c r="J124" s="131"/>
      <c r="K124" s="129"/>
      <c r="L124" s="129"/>
      <c r="M124" s="129"/>
      <c r="N124" s="177"/>
      <c r="O124" s="35"/>
    </row>
    <row r="125" spans="1:15" x14ac:dyDescent="0.25">
      <c r="A125" s="145">
        <v>4299</v>
      </c>
      <c r="B125" s="101" t="s">
        <v>10</v>
      </c>
      <c r="C125" s="168">
        <f>SUM(C118:C123)</f>
        <v>29000</v>
      </c>
      <c r="D125" s="132">
        <f t="shared" ref="D125:F125" si="41">SUM(D118:D123)</f>
        <v>42000</v>
      </c>
      <c r="E125" s="132">
        <f t="shared" si="41"/>
        <v>52000</v>
      </c>
      <c r="F125" s="169">
        <f t="shared" si="41"/>
        <v>17440</v>
      </c>
      <c r="G125" s="232">
        <f>SUM(G118:G124)</f>
        <v>140440</v>
      </c>
      <c r="H125" s="178">
        <f t="shared" ref="H125:N125" si="42">SUM(H119:H123)</f>
        <v>44646.666666666672</v>
      </c>
      <c r="I125" s="132">
        <f t="shared" si="42"/>
        <v>32146.666666666668</v>
      </c>
      <c r="J125" s="132">
        <f t="shared" si="42"/>
        <v>13833.333333333334</v>
      </c>
      <c r="K125" s="132">
        <f t="shared" si="42"/>
        <v>32146.666666666668</v>
      </c>
      <c r="L125" s="132">
        <f t="shared" si="42"/>
        <v>16333.333333333334</v>
      </c>
      <c r="M125" s="132">
        <f t="shared" si="42"/>
        <v>1333.3333333333333</v>
      </c>
      <c r="N125" s="179">
        <f t="shared" si="42"/>
        <v>140440</v>
      </c>
      <c r="O125" s="35"/>
    </row>
    <row r="126" spans="1:15" x14ac:dyDescent="0.25">
      <c r="A126" s="144">
        <v>4300</v>
      </c>
      <c r="B126" s="113" t="s">
        <v>193</v>
      </c>
      <c r="C126" s="155"/>
      <c r="D126" s="129"/>
      <c r="E126" s="129"/>
      <c r="F126" s="156"/>
      <c r="G126" s="172"/>
      <c r="H126" s="157"/>
      <c r="I126" s="129"/>
      <c r="J126" s="129"/>
      <c r="K126" s="129"/>
      <c r="L126" s="129"/>
      <c r="M126" s="129"/>
      <c r="N126" s="158"/>
      <c r="O126" s="35"/>
    </row>
    <row r="127" spans="1:15" x14ac:dyDescent="0.25">
      <c r="A127" s="144">
        <v>4301</v>
      </c>
      <c r="B127" s="107" t="s">
        <v>125</v>
      </c>
      <c r="C127" s="159"/>
      <c r="D127" s="130"/>
      <c r="E127" s="130"/>
      <c r="F127" s="160"/>
      <c r="G127" s="172">
        <f>SUM(C127:F127)</f>
        <v>0</v>
      </c>
      <c r="H127" s="201"/>
      <c r="I127" s="202"/>
      <c r="J127" s="202"/>
      <c r="K127" s="202"/>
      <c r="L127" s="202"/>
      <c r="M127" s="202"/>
      <c r="N127" s="177">
        <f t="shared" ref="N127:N132" si="43">SUM(H127:M127)</f>
        <v>0</v>
      </c>
      <c r="O127" s="35"/>
    </row>
    <row r="128" spans="1:15" x14ac:dyDescent="0.25">
      <c r="A128" s="144">
        <v>4302</v>
      </c>
      <c r="B128" s="99" t="s">
        <v>126</v>
      </c>
      <c r="C128" s="159"/>
      <c r="D128" s="130"/>
      <c r="E128" s="130"/>
      <c r="F128" s="160"/>
      <c r="G128" s="172">
        <f>SUM(C128:F128)</f>
        <v>0</v>
      </c>
      <c r="H128" s="201"/>
      <c r="I128" s="202"/>
      <c r="J128" s="202"/>
      <c r="K128" s="202"/>
      <c r="L128" s="202"/>
      <c r="M128" s="202"/>
      <c r="N128" s="177">
        <f t="shared" si="43"/>
        <v>0</v>
      </c>
      <c r="O128" s="35"/>
    </row>
    <row r="129" spans="1:16" x14ac:dyDescent="0.25">
      <c r="A129" s="144">
        <v>4303</v>
      </c>
      <c r="B129" s="99" t="s">
        <v>127</v>
      </c>
      <c r="C129" s="159"/>
      <c r="D129" s="130"/>
      <c r="E129" s="130"/>
      <c r="F129" s="160"/>
      <c r="G129" s="172">
        <v>0</v>
      </c>
      <c r="H129" s="201"/>
      <c r="I129" s="202"/>
      <c r="J129" s="202"/>
      <c r="K129" s="202"/>
      <c r="L129" s="202"/>
      <c r="M129" s="202"/>
      <c r="N129" s="177"/>
      <c r="O129" s="35"/>
    </row>
    <row r="130" spans="1:16" x14ac:dyDescent="0.25">
      <c r="A130" s="144">
        <v>4303</v>
      </c>
      <c r="B130" s="99" t="s">
        <v>123</v>
      </c>
      <c r="C130" s="159">
        <v>21851.82</v>
      </c>
      <c r="D130" s="130">
        <v>50222</v>
      </c>
      <c r="E130" s="130">
        <v>20000</v>
      </c>
      <c r="F130" s="160">
        <v>249482</v>
      </c>
      <c r="G130" s="172">
        <f>SUM(C130:F130)</f>
        <v>341555.82</v>
      </c>
      <c r="H130" s="249">
        <f>G130/6</f>
        <v>56925.97</v>
      </c>
      <c r="I130" s="250">
        <f>G130/6</f>
        <v>56925.97</v>
      </c>
      <c r="J130" s="250">
        <f>G130/6</f>
        <v>56925.97</v>
      </c>
      <c r="K130" s="250">
        <f>G130/6</f>
        <v>56925.97</v>
      </c>
      <c r="L130" s="250">
        <f>G130/6</f>
        <v>56925.97</v>
      </c>
      <c r="M130" s="250">
        <f>G130/6</f>
        <v>56925.97</v>
      </c>
      <c r="N130" s="177">
        <f t="shared" si="43"/>
        <v>341555.81999999995</v>
      </c>
      <c r="O130" s="35"/>
      <c r="P130" s="35"/>
    </row>
    <row r="131" spans="1:16" x14ac:dyDescent="0.25">
      <c r="A131" s="144">
        <v>4304</v>
      </c>
      <c r="B131" s="99" t="s">
        <v>124</v>
      </c>
      <c r="C131" s="159"/>
      <c r="D131" s="130"/>
      <c r="E131" s="130"/>
      <c r="F131" s="160"/>
      <c r="G131" s="172">
        <v>0</v>
      </c>
      <c r="H131" s="249"/>
      <c r="I131" s="250"/>
      <c r="J131" s="250"/>
      <c r="K131" s="250"/>
      <c r="L131" s="250"/>
      <c r="M131" s="250"/>
      <c r="N131" s="177"/>
      <c r="O131" s="35"/>
      <c r="P131" s="35"/>
    </row>
    <row r="132" spans="1:16" x14ac:dyDescent="0.25">
      <c r="A132" s="144">
        <v>4305</v>
      </c>
      <c r="B132" s="99" t="s">
        <v>73</v>
      </c>
      <c r="C132" s="159">
        <v>26717</v>
      </c>
      <c r="D132" s="130">
        <v>100000</v>
      </c>
      <c r="E132" s="130">
        <v>0</v>
      </c>
      <c r="F132" s="160">
        <v>17282</v>
      </c>
      <c r="G132" s="172">
        <f>SUM(C132:F132)</f>
        <v>143999</v>
      </c>
      <c r="H132" s="249">
        <f>G132/6</f>
        <v>23999.833333333332</v>
      </c>
      <c r="I132" s="250">
        <f>G132/6</f>
        <v>23999.833333333332</v>
      </c>
      <c r="J132" s="250">
        <f>G132/6</f>
        <v>23999.833333333332</v>
      </c>
      <c r="K132" s="250">
        <f>G132/6</f>
        <v>23999.833333333332</v>
      </c>
      <c r="L132" s="250">
        <f>G132/6</f>
        <v>23999.833333333332</v>
      </c>
      <c r="M132" s="250">
        <f>G132/6</f>
        <v>23999.833333333332</v>
      </c>
      <c r="N132" s="177">
        <f t="shared" si="43"/>
        <v>143999</v>
      </c>
      <c r="O132" s="35"/>
      <c r="P132" s="35"/>
    </row>
    <row r="133" spans="1:16" x14ac:dyDescent="0.25">
      <c r="A133" s="144">
        <v>4306</v>
      </c>
      <c r="B133" s="99" t="s">
        <v>122</v>
      </c>
      <c r="C133" s="159">
        <v>0</v>
      </c>
      <c r="D133" s="130">
        <v>0</v>
      </c>
      <c r="E133" s="130">
        <v>0</v>
      </c>
      <c r="F133" s="160"/>
      <c r="G133" s="172">
        <f>SUM(C133:F133)</f>
        <v>0</v>
      </c>
      <c r="H133" s="201"/>
      <c r="I133" s="202"/>
      <c r="J133" s="202"/>
      <c r="K133" s="202"/>
      <c r="L133" s="202"/>
      <c r="M133" s="202"/>
      <c r="N133" s="177"/>
      <c r="O133" s="35"/>
    </row>
    <row r="134" spans="1:16" x14ac:dyDescent="0.25">
      <c r="A134" s="144"/>
      <c r="B134" s="99"/>
      <c r="C134" s="159"/>
      <c r="D134" s="130"/>
      <c r="E134" s="130"/>
      <c r="F134" s="160"/>
      <c r="G134" s="172"/>
      <c r="H134" s="201"/>
      <c r="I134" s="202"/>
      <c r="J134" s="202"/>
      <c r="K134" s="202"/>
      <c r="L134" s="202"/>
      <c r="M134" s="202"/>
      <c r="N134" s="177"/>
      <c r="O134" s="35"/>
    </row>
    <row r="135" spans="1:16" x14ac:dyDescent="0.25">
      <c r="A135" s="145">
        <v>4399</v>
      </c>
      <c r="B135" s="101" t="s">
        <v>10</v>
      </c>
      <c r="C135" s="168">
        <f>SUM(C127:C133)</f>
        <v>48568.82</v>
      </c>
      <c r="D135" s="132">
        <f t="shared" ref="D135:F135" si="44">SUM(D127:D133)</f>
        <v>150222</v>
      </c>
      <c r="E135" s="132">
        <f t="shared" si="44"/>
        <v>20000</v>
      </c>
      <c r="F135" s="169">
        <f t="shared" si="44"/>
        <v>266764</v>
      </c>
      <c r="G135" s="232">
        <f>SUM(G127:G134)</f>
        <v>485554.82</v>
      </c>
      <c r="H135" s="178">
        <f>SUM(H127:H133)</f>
        <v>80925.80333333333</v>
      </c>
      <c r="I135" s="132">
        <f t="shared" ref="I135:M135" si="45">SUM(I127:I133)</f>
        <v>80925.80333333333</v>
      </c>
      <c r="J135" s="132">
        <f t="shared" si="45"/>
        <v>80925.80333333333</v>
      </c>
      <c r="K135" s="132">
        <f t="shared" si="45"/>
        <v>80925.80333333333</v>
      </c>
      <c r="L135" s="132">
        <f t="shared" si="45"/>
        <v>80925.80333333333</v>
      </c>
      <c r="M135" s="132">
        <f t="shared" si="45"/>
        <v>80925.80333333333</v>
      </c>
      <c r="N135" s="179">
        <f>SUM(N127:N132)</f>
        <v>485554.81999999995</v>
      </c>
      <c r="O135" s="35"/>
    </row>
    <row r="136" spans="1:16" x14ac:dyDescent="0.25">
      <c r="A136" s="147">
        <v>4999</v>
      </c>
      <c r="B136" s="104" t="s">
        <v>11</v>
      </c>
      <c r="C136" s="181">
        <f t="shared" ref="C136:F136" si="46">SUM(C125,C135)</f>
        <v>77568.820000000007</v>
      </c>
      <c r="D136" s="182">
        <f t="shared" si="46"/>
        <v>192222</v>
      </c>
      <c r="E136" s="182">
        <f t="shared" si="46"/>
        <v>72000</v>
      </c>
      <c r="F136" s="183">
        <f t="shared" si="46"/>
        <v>284204</v>
      </c>
      <c r="G136" s="233">
        <f>SUM(G125,G135)</f>
        <v>625994.82000000007</v>
      </c>
      <c r="H136" s="184">
        <f>SUM(H125,H135)</f>
        <v>125572.47</v>
      </c>
      <c r="I136" s="182">
        <f t="shared" ref="I136:N136" si="47">SUM(I125,I135)</f>
        <v>113072.47</v>
      </c>
      <c r="J136" s="182">
        <f t="shared" si="47"/>
        <v>94759.136666666658</v>
      </c>
      <c r="K136" s="182">
        <f t="shared" si="47"/>
        <v>113072.47</v>
      </c>
      <c r="L136" s="182">
        <f t="shared" si="47"/>
        <v>97259.136666666658</v>
      </c>
      <c r="M136" s="182">
        <f t="shared" si="47"/>
        <v>82259.136666666658</v>
      </c>
      <c r="N136" s="185">
        <f t="shared" si="47"/>
        <v>625994.81999999995</v>
      </c>
      <c r="O136" s="35"/>
    </row>
    <row r="137" spans="1:16" x14ac:dyDescent="0.25">
      <c r="A137" s="144"/>
      <c r="B137" s="105"/>
      <c r="C137" s="155"/>
      <c r="D137" s="129"/>
      <c r="E137" s="129"/>
      <c r="F137" s="156"/>
      <c r="G137" s="172"/>
      <c r="H137" s="157"/>
      <c r="I137" s="129"/>
      <c r="J137" s="129"/>
      <c r="K137" s="129"/>
      <c r="L137" s="129"/>
      <c r="M137" s="129"/>
      <c r="N137" s="158"/>
      <c r="O137" s="35"/>
    </row>
    <row r="138" spans="1:16" x14ac:dyDescent="0.25">
      <c r="A138" s="148">
        <v>5200</v>
      </c>
      <c r="B138" s="113" t="s">
        <v>194</v>
      </c>
      <c r="C138" s="155"/>
      <c r="D138" s="129"/>
      <c r="E138" s="129"/>
      <c r="F138" s="156"/>
      <c r="G138" s="172"/>
      <c r="H138" s="157"/>
      <c r="I138" s="129"/>
      <c r="J138" s="129"/>
      <c r="K138" s="129"/>
      <c r="L138" s="129"/>
      <c r="M138" s="129"/>
      <c r="N138" s="158"/>
      <c r="O138" s="35"/>
    </row>
    <row r="139" spans="1:16" x14ac:dyDescent="0.25">
      <c r="A139" s="144">
        <v>5201</v>
      </c>
      <c r="B139" s="128" t="s">
        <v>200</v>
      </c>
      <c r="C139" s="155"/>
      <c r="D139" s="129"/>
      <c r="E139" s="129"/>
      <c r="F139" s="156">
        <v>70000</v>
      </c>
      <c r="G139" s="172">
        <f>SUM(C139:F139)</f>
        <v>70000</v>
      </c>
      <c r="H139" s="180">
        <f>G139/6</f>
        <v>11666.666666666666</v>
      </c>
      <c r="I139" s="130">
        <f>G139/6</f>
        <v>11666.666666666666</v>
      </c>
      <c r="J139" s="130">
        <f>G139/6</f>
        <v>11666.666666666666</v>
      </c>
      <c r="K139" s="130">
        <f>G139/6</f>
        <v>11666.666666666666</v>
      </c>
      <c r="L139" s="130">
        <f>G139/6</f>
        <v>11666.666666666666</v>
      </c>
      <c r="M139" s="130">
        <f>G139/6</f>
        <v>11666.666666666666</v>
      </c>
      <c r="N139" s="158">
        <f t="shared" ref="N139:N142" si="48">SUM(H139:M139)</f>
        <v>70000</v>
      </c>
      <c r="O139" s="35"/>
    </row>
    <row r="140" spans="1:16" x14ac:dyDescent="0.25">
      <c r="A140" s="96">
        <v>5202</v>
      </c>
      <c r="B140" s="128" t="s">
        <v>137</v>
      </c>
      <c r="C140" s="155">
        <v>13000</v>
      </c>
      <c r="D140" s="129">
        <v>10000</v>
      </c>
      <c r="E140" s="129">
        <v>30000</v>
      </c>
      <c r="F140" s="156"/>
      <c r="G140" s="172">
        <f>SUM(C140:F140)</f>
        <v>53000</v>
      </c>
      <c r="H140" s="180"/>
      <c r="I140" s="130">
        <f>G140/5</f>
        <v>10600</v>
      </c>
      <c r="J140" s="130">
        <f>G140/5</f>
        <v>10600</v>
      </c>
      <c r="K140" s="130">
        <f>G140/5</f>
        <v>10600</v>
      </c>
      <c r="L140" s="130">
        <f>G140/5</f>
        <v>10600</v>
      </c>
      <c r="M140" s="130">
        <f>G140/5</f>
        <v>10600</v>
      </c>
      <c r="N140" s="158">
        <f t="shared" si="48"/>
        <v>53000</v>
      </c>
      <c r="O140" s="35"/>
    </row>
    <row r="141" spans="1:16" x14ac:dyDescent="0.25">
      <c r="A141" s="96">
        <v>5203</v>
      </c>
      <c r="B141" s="128" t="s">
        <v>152</v>
      </c>
      <c r="C141" s="155">
        <v>20000</v>
      </c>
      <c r="D141" s="129">
        <v>60000</v>
      </c>
      <c r="E141" s="129">
        <v>10000</v>
      </c>
      <c r="F141" s="156"/>
      <c r="G141" s="172">
        <f>SUM(C141:E141)</f>
        <v>90000</v>
      </c>
      <c r="H141" s="180">
        <f>G141/5</f>
        <v>18000</v>
      </c>
      <c r="I141" s="130">
        <f>G141/5</f>
        <v>18000</v>
      </c>
      <c r="J141" s="130">
        <f>G141/5</f>
        <v>18000</v>
      </c>
      <c r="K141" s="130">
        <f>G141/5</f>
        <v>18000</v>
      </c>
      <c r="L141" s="130">
        <f>G141/5</f>
        <v>18000</v>
      </c>
      <c r="M141" s="130"/>
      <c r="N141" s="158">
        <f t="shared" si="48"/>
        <v>90000</v>
      </c>
      <c r="O141" s="35"/>
    </row>
    <row r="142" spans="1:16" x14ac:dyDescent="0.25">
      <c r="A142" s="96">
        <v>5204</v>
      </c>
      <c r="B142" s="128" t="s">
        <v>144</v>
      </c>
      <c r="C142" s="155">
        <v>14078.18</v>
      </c>
      <c r="D142" s="129">
        <v>15000</v>
      </c>
      <c r="E142" s="129">
        <v>6532</v>
      </c>
      <c r="F142" s="156"/>
      <c r="G142" s="172">
        <f>SUM(C142:E142)</f>
        <v>35610.18</v>
      </c>
      <c r="H142" s="180">
        <f>G142/6</f>
        <v>5935.03</v>
      </c>
      <c r="I142" s="130">
        <f>G142/6</f>
        <v>5935.03</v>
      </c>
      <c r="J142" s="130">
        <f>G142/6</f>
        <v>5935.03</v>
      </c>
      <c r="K142" s="130">
        <f>G142/6</f>
        <v>5935.03</v>
      </c>
      <c r="L142" s="130">
        <f>G142/6</f>
        <v>5935.03</v>
      </c>
      <c r="M142" s="130">
        <f>G142/6</f>
        <v>5935.03</v>
      </c>
      <c r="N142" s="158">
        <f t="shared" si="48"/>
        <v>35610.18</v>
      </c>
      <c r="O142" s="35"/>
    </row>
    <row r="143" spans="1:16" x14ac:dyDescent="0.25">
      <c r="A143" s="96"/>
      <c r="B143" s="128"/>
      <c r="C143" s="155"/>
      <c r="D143" s="129"/>
      <c r="E143" s="129"/>
      <c r="F143" s="156"/>
      <c r="G143" s="172"/>
      <c r="H143" s="180"/>
      <c r="I143" s="130"/>
      <c r="J143" s="130"/>
      <c r="K143" s="130"/>
      <c r="L143" s="130"/>
      <c r="M143" s="130"/>
      <c r="N143" s="158"/>
      <c r="O143" s="35"/>
    </row>
    <row r="144" spans="1:16" x14ac:dyDescent="0.25">
      <c r="A144" s="145">
        <v>5299</v>
      </c>
      <c r="B144" s="101" t="s">
        <v>10</v>
      </c>
      <c r="C144" s="168">
        <f>SUM(C139:C142)</f>
        <v>47078.18</v>
      </c>
      <c r="D144" s="132">
        <f t="shared" ref="D144:F144" si="49">SUM(D139:D142)</f>
        <v>85000</v>
      </c>
      <c r="E144" s="132">
        <f t="shared" si="49"/>
        <v>46532</v>
      </c>
      <c r="F144" s="169">
        <f t="shared" si="49"/>
        <v>70000</v>
      </c>
      <c r="G144" s="232">
        <f>SUM(G139:G143)</f>
        <v>248610.18</v>
      </c>
      <c r="H144" s="178">
        <f>SUM(H139:H142)</f>
        <v>35601.696666666663</v>
      </c>
      <c r="I144" s="132">
        <f t="shared" ref="I144:M144" si="50">SUM(I139:I142)</f>
        <v>46201.696666666663</v>
      </c>
      <c r="J144" s="132">
        <f t="shared" si="50"/>
        <v>46201.696666666663</v>
      </c>
      <c r="K144" s="132">
        <f t="shared" si="50"/>
        <v>46201.696666666663</v>
      </c>
      <c r="L144" s="132">
        <f t="shared" si="50"/>
        <v>46201.696666666663</v>
      </c>
      <c r="M144" s="132">
        <f t="shared" si="50"/>
        <v>28201.696666666663</v>
      </c>
      <c r="N144" s="179">
        <f>SUM(N139:N142)</f>
        <v>248610.18</v>
      </c>
      <c r="O144" s="35"/>
    </row>
    <row r="145" spans="1:16" x14ac:dyDescent="0.25">
      <c r="A145" s="144">
        <v>5300</v>
      </c>
      <c r="B145" s="113" t="s">
        <v>195</v>
      </c>
      <c r="C145" s="155"/>
      <c r="D145" s="129"/>
      <c r="E145" s="129"/>
      <c r="F145" s="156"/>
      <c r="G145" s="172"/>
      <c r="H145" s="157"/>
      <c r="I145" s="129"/>
      <c r="J145" s="129"/>
      <c r="K145" s="129"/>
      <c r="L145" s="129"/>
      <c r="M145" s="129"/>
      <c r="N145" s="158"/>
      <c r="O145" s="35"/>
    </row>
    <row r="146" spans="1:16" ht="30" x14ac:dyDescent="0.25">
      <c r="A146" s="144">
        <v>5301</v>
      </c>
      <c r="B146" s="107" t="s">
        <v>153</v>
      </c>
      <c r="C146" s="159">
        <v>0</v>
      </c>
      <c r="D146" s="130">
        <v>15000</v>
      </c>
      <c r="E146" s="130">
        <v>5000</v>
      </c>
      <c r="F146" s="160"/>
      <c r="G146" s="172">
        <f>SUM(C146:F146)</f>
        <v>20000</v>
      </c>
      <c r="H146" s="180">
        <f>G146/6</f>
        <v>3333.3333333333335</v>
      </c>
      <c r="I146" s="130">
        <f>G146/6</f>
        <v>3333.3333333333335</v>
      </c>
      <c r="J146" s="130">
        <f>G146/6</f>
        <v>3333.3333333333335</v>
      </c>
      <c r="K146" s="130">
        <f>G146/6</f>
        <v>3333.3333333333335</v>
      </c>
      <c r="L146" s="130">
        <f>G146/6</f>
        <v>3333.3333333333335</v>
      </c>
      <c r="M146" s="130">
        <f>G146/6</f>
        <v>3333.3333333333335</v>
      </c>
      <c r="N146" s="177">
        <f>SUM(H146:M146)</f>
        <v>20000</v>
      </c>
      <c r="O146" s="35"/>
    </row>
    <row r="147" spans="1:16" x14ac:dyDescent="0.25">
      <c r="A147" s="144">
        <v>5302</v>
      </c>
      <c r="B147" s="108" t="s">
        <v>15</v>
      </c>
      <c r="C147" s="159">
        <v>0</v>
      </c>
      <c r="D147" s="130">
        <v>15000</v>
      </c>
      <c r="E147" s="130">
        <v>0</v>
      </c>
      <c r="F147" s="160"/>
      <c r="G147" s="172">
        <f>SUM(C147:F147)</f>
        <v>15000</v>
      </c>
      <c r="H147" s="157">
        <v>5000</v>
      </c>
      <c r="I147" s="129">
        <v>2000</v>
      </c>
      <c r="J147" s="129">
        <v>2000</v>
      </c>
      <c r="K147" s="129">
        <v>2000</v>
      </c>
      <c r="L147" s="129">
        <v>2000</v>
      </c>
      <c r="M147" s="241">
        <v>2000</v>
      </c>
      <c r="N147" s="177">
        <f>SUM(H147:M147)</f>
        <v>15000</v>
      </c>
      <c r="O147" s="215"/>
    </row>
    <row r="148" spans="1:16" x14ac:dyDescent="0.25">
      <c r="A148" s="144"/>
      <c r="B148" s="108"/>
      <c r="C148" s="159"/>
      <c r="D148" s="130"/>
      <c r="E148" s="130"/>
      <c r="F148" s="160"/>
      <c r="G148" s="172"/>
      <c r="H148" s="157"/>
      <c r="I148" s="129"/>
      <c r="J148" s="129"/>
      <c r="K148" s="129"/>
      <c r="L148" s="129"/>
      <c r="M148" s="156"/>
      <c r="N148" s="176"/>
      <c r="O148" s="215"/>
    </row>
    <row r="149" spans="1:16" x14ac:dyDescent="0.25">
      <c r="A149" s="145">
        <v>5399</v>
      </c>
      <c r="B149" s="101" t="s">
        <v>10</v>
      </c>
      <c r="C149" s="168">
        <f t="shared" ref="C149:M149" si="51">SUM(C146:C147)</f>
        <v>0</v>
      </c>
      <c r="D149" s="132">
        <f t="shared" si="51"/>
        <v>30000</v>
      </c>
      <c r="E149" s="132">
        <f t="shared" si="51"/>
        <v>5000</v>
      </c>
      <c r="F149" s="169">
        <f t="shared" si="51"/>
        <v>0</v>
      </c>
      <c r="G149" s="232">
        <f>SUM(G146:G147)</f>
        <v>35000</v>
      </c>
      <c r="H149" s="178">
        <f t="shared" si="51"/>
        <v>8333.3333333333339</v>
      </c>
      <c r="I149" s="132">
        <f t="shared" si="51"/>
        <v>5333.3333333333339</v>
      </c>
      <c r="J149" s="132">
        <f t="shared" si="51"/>
        <v>5333.3333333333339</v>
      </c>
      <c r="K149" s="132">
        <f t="shared" si="51"/>
        <v>5333.3333333333339</v>
      </c>
      <c r="L149" s="132">
        <f t="shared" si="51"/>
        <v>5333.3333333333339</v>
      </c>
      <c r="M149" s="132">
        <f t="shared" si="51"/>
        <v>5333.3333333333339</v>
      </c>
      <c r="N149" s="179">
        <f>SUM(N146:N147)</f>
        <v>35000</v>
      </c>
      <c r="O149" s="35"/>
    </row>
    <row r="150" spans="1:16" x14ac:dyDescent="0.25">
      <c r="A150" s="142"/>
      <c r="B150" s="98"/>
      <c r="C150" s="194"/>
      <c r="D150" s="195"/>
      <c r="E150" s="195"/>
      <c r="F150" s="195"/>
      <c r="G150" s="235"/>
      <c r="H150" s="196"/>
      <c r="I150" s="195"/>
      <c r="J150" s="195"/>
      <c r="K150" s="195"/>
      <c r="L150" s="195"/>
      <c r="M150" s="195"/>
      <c r="N150" s="197"/>
      <c r="O150" s="35"/>
    </row>
    <row r="151" spans="1:16" x14ac:dyDescent="0.25">
      <c r="A151" s="142">
        <v>5400</v>
      </c>
      <c r="B151" s="113" t="s">
        <v>196</v>
      </c>
      <c r="C151" s="194"/>
      <c r="D151" s="195"/>
      <c r="E151" s="195"/>
      <c r="F151" s="195"/>
      <c r="G151" s="235"/>
      <c r="H151" s="196"/>
      <c r="I151" s="195"/>
      <c r="J151" s="195"/>
      <c r="K151" s="195"/>
      <c r="L151" s="195"/>
      <c r="M151" s="195"/>
      <c r="N151" s="197"/>
      <c r="O151" s="35"/>
    </row>
    <row r="152" spans="1:16" x14ac:dyDescent="0.25">
      <c r="A152" s="142">
        <v>5401</v>
      </c>
      <c r="B152" s="128" t="s">
        <v>139</v>
      </c>
      <c r="C152" s="159">
        <v>10000</v>
      </c>
      <c r="D152" s="130">
        <v>15000</v>
      </c>
      <c r="E152" s="130">
        <v>0</v>
      </c>
      <c r="F152" s="160"/>
      <c r="G152" s="172">
        <f>SUM(C152:F152)</f>
        <v>25000</v>
      </c>
      <c r="H152" s="196"/>
      <c r="I152" s="130">
        <f>G152/4</f>
        <v>6250</v>
      </c>
      <c r="J152" s="130">
        <f>G152/4</f>
        <v>6250</v>
      </c>
      <c r="K152" s="130">
        <f>G152/4</f>
        <v>6250</v>
      </c>
      <c r="L152" s="130">
        <f>G152/4</f>
        <v>6250</v>
      </c>
      <c r="M152" s="244"/>
      <c r="N152" s="177">
        <f>SUM(H152:M152)</f>
        <v>25000</v>
      </c>
      <c r="O152" s="35"/>
    </row>
    <row r="153" spans="1:16" x14ac:dyDescent="0.25">
      <c r="A153" s="142"/>
      <c r="B153" s="98"/>
      <c r="C153" s="194"/>
      <c r="D153" s="195"/>
      <c r="E153" s="195"/>
      <c r="F153" s="195"/>
      <c r="G153" s="235"/>
      <c r="H153" s="196"/>
      <c r="I153" s="244"/>
      <c r="J153" s="244"/>
      <c r="K153" s="244"/>
      <c r="L153" s="244"/>
      <c r="M153" s="244"/>
      <c r="N153" s="251"/>
      <c r="O153" s="35"/>
    </row>
    <row r="154" spans="1:16" x14ac:dyDescent="0.25">
      <c r="A154" s="144">
        <v>5500</v>
      </c>
      <c r="B154" s="113" t="s">
        <v>140</v>
      </c>
      <c r="C154" s="155"/>
      <c r="D154" s="129"/>
      <c r="E154" s="129"/>
      <c r="F154" s="156"/>
      <c r="G154" s="172"/>
      <c r="H154" s="157"/>
      <c r="I154" s="130"/>
      <c r="J154" s="130"/>
      <c r="K154" s="130"/>
      <c r="L154" s="130"/>
      <c r="M154" s="130"/>
      <c r="N154" s="177"/>
      <c r="O154" s="35"/>
    </row>
    <row r="155" spans="1:16" x14ac:dyDescent="0.25">
      <c r="A155" s="144">
        <v>5501</v>
      </c>
      <c r="B155" s="107" t="s">
        <v>121</v>
      </c>
      <c r="C155" s="159"/>
      <c r="D155" s="130"/>
      <c r="E155" s="130"/>
      <c r="F155" s="160">
        <v>60000</v>
      </c>
      <c r="G155" s="172">
        <f>SUM(C155:F155)</f>
        <v>60000</v>
      </c>
      <c r="H155" s="157"/>
      <c r="I155" s="130"/>
      <c r="J155" s="130">
        <v>30000</v>
      </c>
      <c r="K155" s="130"/>
      <c r="L155" s="130"/>
      <c r="M155" s="130">
        <v>30000</v>
      </c>
      <c r="N155" s="177">
        <f t="shared" ref="N155:N157" si="52">SUM(H155:M155)</f>
        <v>60000</v>
      </c>
      <c r="O155" s="35"/>
    </row>
    <row r="156" spans="1:16" x14ac:dyDescent="0.25">
      <c r="A156" s="144">
        <v>5502</v>
      </c>
      <c r="B156" s="99" t="s">
        <v>176</v>
      </c>
      <c r="C156" s="159"/>
      <c r="D156" s="130"/>
      <c r="E156" s="130">
        <v>60000</v>
      </c>
      <c r="F156" s="160"/>
      <c r="G156" s="172">
        <f t="shared" ref="G156:G157" si="53">SUM(C156:F156)</f>
        <v>60000</v>
      </c>
      <c r="H156" s="157">
        <v>20000</v>
      </c>
      <c r="I156" s="130">
        <v>10000</v>
      </c>
      <c r="J156" s="130">
        <v>5000</v>
      </c>
      <c r="K156" s="130">
        <v>15000</v>
      </c>
      <c r="L156" s="130">
        <v>5000</v>
      </c>
      <c r="M156" s="130">
        <v>5000</v>
      </c>
      <c r="N156" s="177">
        <f t="shared" si="52"/>
        <v>60000</v>
      </c>
      <c r="O156" s="35"/>
    </row>
    <row r="157" spans="1:16" x14ac:dyDescent="0.25">
      <c r="A157" s="144">
        <v>5503</v>
      </c>
      <c r="B157" s="107" t="s">
        <v>128</v>
      </c>
      <c r="C157" s="159">
        <v>18000</v>
      </c>
      <c r="D157" s="130">
        <v>18000</v>
      </c>
      <c r="E157" s="130"/>
      <c r="F157" s="160"/>
      <c r="G157" s="172">
        <f t="shared" si="53"/>
        <v>36000</v>
      </c>
      <c r="H157" s="180">
        <f>G157/6</f>
        <v>6000</v>
      </c>
      <c r="I157" s="130">
        <f>G157/6</f>
        <v>6000</v>
      </c>
      <c r="J157" s="130">
        <f>G157/6</f>
        <v>6000</v>
      </c>
      <c r="K157" s="130">
        <f>G157/6</f>
        <v>6000</v>
      </c>
      <c r="L157" s="130">
        <f>G157/6</f>
        <v>6000</v>
      </c>
      <c r="M157" s="130">
        <f>G157/6-0.33</f>
        <v>5999.67</v>
      </c>
      <c r="N157" s="177">
        <f t="shared" si="52"/>
        <v>35999.67</v>
      </c>
      <c r="O157" s="252"/>
      <c r="P157" s="253"/>
    </row>
    <row r="158" spans="1:16" x14ac:dyDescent="0.25">
      <c r="A158" s="144"/>
      <c r="B158" s="107"/>
      <c r="C158" s="159"/>
      <c r="D158" s="130"/>
      <c r="E158" s="130"/>
      <c r="F158" s="160"/>
      <c r="G158" s="172"/>
      <c r="H158" s="238"/>
      <c r="I158" s="131"/>
      <c r="J158" s="131"/>
      <c r="K158" s="131"/>
      <c r="L158" s="131"/>
      <c r="M158" s="131"/>
      <c r="N158" s="190"/>
      <c r="O158" s="236"/>
      <c r="P158" s="240"/>
    </row>
    <row r="159" spans="1:16" x14ac:dyDescent="0.25">
      <c r="A159" s="145">
        <v>5599</v>
      </c>
      <c r="B159" s="101" t="s">
        <v>10</v>
      </c>
      <c r="C159" s="168">
        <f>SUM(C152:C157)</f>
        <v>28000</v>
      </c>
      <c r="D159" s="132">
        <f t="shared" ref="D159:F159" si="54">SUM(D152:D157)</f>
        <v>33000</v>
      </c>
      <c r="E159" s="132">
        <f t="shared" si="54"/>
        <v>60000</v>
      </c>
      <c r="F159" s="169">
        <f t="shared" si="54"/>
        <v>60000</v>
      </c>
      <c r="G159" s="232">
        <f>SUM(G152:G158)</f>
        <v>181000</v>
      </c>
      <c r="H159" s="178">
        <f>SUM(H152:H157)</f>
        <v>26000</v>
      </c>
      <c r="I159" s="132">
        <f t="shared" ref="I159:M159" si="55">SUM(I152:I157)</f>
        <v>22250</v>
      </c>
      <c r="J159" s="132">
        <f t="shared" si="55"/>
        <v>47250</v>
      </c>
      <c r="K159" s="132">
        <f t="shared" si="55"/>
        <v>27250</v>
      </c>
      <c r="L159" s="132">
        <f t="shared" si="55"/>
        <v>17250</v>
      </c>
      <c r="M159" s="132">
        <f t="shared" si="55"/>
        <v>40999.67</v>
      </c>
      <c r="N159" s="179">
        <f>SUM(N152:N157)</f>
        <v>180999.66999999998</v>
      </c>
      <c r="O159" s="35"/>
    </row>
    <row r="160" spans="1:16" x14ac:dyDescent="0.25">
      <c r="A160" s="147">
        <v>5999</v>
      </c>
      <c r="B160" s="104" t="s">
        <v>11</v>
      </c>
      <c r="C160" s="181">
        <f>SUM(C144,C149,C159)</f>
        <v>75078.179999999993</v>
      </c>
      <c r="D160" s="182">
        <f t="shared" ref="D160:E160" si="56">SUM(D144,D149,D159)</f>
        <v>148000</v>
      </c>
      <c r="E160" s="182">
        <f t="shared" si="56"/>
        <v>111532</v>
      </c>
      <c r="F160" s="183">
        <f>SUM(F144,F149,F159)</f>
        <v>130000</v>
      </c>
      <c r="G160" s="233">
        <f>SUM(G144,G149,G159)</f>
        <v>464610.18</v>
      </c>
      <c r="H160" s="184">
        <f>SUM(H144,H149,H159)</f>
        <v>69935.03</v>
      </c>
      <c r="I160" s="182">
        <f t="shared" ref="I160:M160" si="57">SUM(I144,I149,I159)</f>
        <v>73785.03</v>
      </c>
      <c r="J160" s="182">
        <f t="shared" si="57"/>
        <v>98785.03</v>
      </c>
      <c r="K160" s="182">
        <f t="shared" si="57"/>
        <v>78785.03</v>
      </c>
      <c r="L160" s="182">
        <f t="shared" si="57"/>
        <v>68785.03</v>
      </c>
      <c r="M160" s="182">
        <f t="shared" si="57"/>
        <v>74534.7</v>
      </c>
      <c r="N160" s="185">
        <f>SUM(N144,N149,N159)</f>
        <v>464609.85</v>
      </c>
      <c r="O160" s="35"/>
    </row>
    <row r="161" spans="1:15" x14ac:dyDescent="0.25">
      <c r="A161" s="144"/>
      <c r="B161" s="105"/>
      <c r="C161" s="203"/>
      <c r="D161" s="133"/>
      <c r="E161" s="133"/>
      <c r="F161" s="204"/>
      <c r="G161" s="172"/>
      <c r="H161" s="205"/>
      <c r="I161" s="133"/>
      <c r="J161" s="133"/>
      <c r="K161" s="133"/>
      <c r="L161" s="133"/>
      <c r="M161" s="133"/>
      <c r="N161" s="158"/>
    </row>
    <row r="162" spans="1:15" ht="15.75" thickBot="1" x14ac:dyDescent="0.3">
      <c r="A162" s="149">
        <v>99</v>
      </c>
      <c r="B162" s="150" t="s">
        <v>16</v>
      </c>
      <c r="C162" s="206">
        <f>SUM(C159,C149,C144,C135,C125,C113,C106,C98,C82,C47,C42,C31,C18)</f>
        <v>1948758</v>
      </c>
      <c r="D162" s="207">
        <f>SUM(D159,D149,D144,D135,D125,D113,D106,D98,D82,D47,D42,D31,D18)</f>
        <v>5659739.6944857053</v>
      </c>
      <c r="E162" s="207">
        <f>SUM(E159,E149,E144,E135,E125,E113,E106,E98,E82,E47,E42,E31,E18)</f>
        <v>1165235</v>
      </c>
      <c r="F162" s="208">
        <f>SUM(F159,F149,F144,F135,F125,F113,F106,F98,F82,F47,F42,F31,F18)</f>
        <v>658030</v>
      </c>
      <c r="G162" s="209">
        <f>SUM(C162:F162)</f>
        <v>9431762.6944857053</v>
      </c>
      <c r="H162" s="210">
        <f>SUM(H49,H100,H115,H136,H160)</f>
        <v>1565863.6489479651</v>
      </c>
      <c r="I162" s="207">
        <f t="shared" ref="I162:N162" si="58">SUM(I49,I100,I115,I136,I160)</f>
        <v>1855493.906447965</v>
      </c>
      <c r="J162" s="207">
        <f t="shared" si="58"/>
        <v>1804464.3686404738</v>
      </c>
      <c r="K162" s="207">
        <f t="shared" si="58"/>
        <v>1645336.3124844739</v>
      </c>
      <c r="L162" s="207">
        <f t="shared" si="58"/>
        <v>1398801.5407825508</v>
      </c>
      <c r="M162" s="207">
        <f t="shared" si="58"/>
        <v>1161802.3122889535</v>
      </c>
      <c r="N162" s="211">
        <f t="shared" si="58"/>
        <v>9431762.9995923825</v>
      </c>
    </row>
    <row r="163" spans="1:15" x14ac:dyDescent="0.25">
      <c r="C163" s="35"/>
      <c r="D163" s="35"/>
      <c r="E163" s="35"/>
      <c r="F163" s="91"/>
      <c r="G163" s="109"/>
      <c r="N163" s="217"/>
    </row>
    <row r="164" spans="1:15" x14ac:dyDescent="0.25">
      <c r="B164" s="35"/>
      <c r="C164" s="34"/>
      <c r="D164" s="135"/>
      <c r="E164" s="135"/>
      <c r="G164" s="43"/>
    </row>
    <row r="165" spans="1:15" x14ac:dyDescent="0.25">
      <c r="C165" s="43"/>
      <c r="D165" s="43"/>
      <c r="E165" s="280"/>
      <c r="F165" s="110"/>
      <c r="G165" s="110"/>
      <c r="H165" s="112"/>
      <c r="M165" s="110" t="s">
        <v>230</v>
      </c>
      <c r="N165" s="110">
        <v>9431763</v>
      </c>
      <c r="O165" s="112" t="s">
        <v>167</v>
      </c>
    </row>
    <row r="166" spans="1:15" x14ac:dyDescent="0.25">
      <c r="F166" s="35"/>
      <c r="G166" s="44"/>
      <c r="N166" s="214"/>
    </row>
    <row r="167" spans="1:15" x14ac:dyDescent="0.25">
      <c r="C167" s="34"/>
      <c r="D167" s="34"/>
      <c r="E167" s="34"/>
      <c r="F167" s="34"/>
      <c r="G167" s="34"/>
      <c r="J167" s="34"/>
      <c r="N167" s="34"/>
      <c r="O167" s="35"/>
    </row>
    <row r="168" spans="1:15" x14ac:dyDescent="0.25">
      <c r="N168" s="44"/>
    </row>
    <row r="169" spans="1:15" x14ac:dyDescent="0.25">
      <c r="B169" s="114"/>
      <c r="C169" s="35"/>
      <c r="D169" s="35"/>
      <c r="E169" s="35"/>
    </row>
    <row r="172" spans="1:15" x14ac:dyDescent="0.25">
      <c r="B172" s="93"/>
      <c r="C172" s="93"/>
      <c r="D172" s="93"/>
      <c r="E172" s="93"/>
      <c r="F172" s="93"/>
      <c r="G172" s="93"/>
      <c r="H172" s="93"/>
    </row>
    <row r="173" spans="1:15" x14ac:dyDescent="0.25">
      <c r="B173" s="93"/>
      <c r="C173" s="93"/>
      <c r="D173" s="93"/>
      <c r="E173" s="93"/>
      <c r="F173" s="93"/>
      <c r="G173" s="93"/>
      <c r="H173" s="93"/>
    </row>
    <row r="174" spans="1:15" x14ac:dyDescent="0.25">
      <c r="B174" s="93"/>
      <c r="C174" s="93"/>
      <c r="D174" s="93"/>
      <c r="E174" s="93"/>
      <c r="F174" s="93"/>
      <c r="G174" s="93"/>
      <c r="H174" s="93"/>
    </row>
    <row r="175" spans="1:15" x14ac:dyDescent="0.25">
      <c r="B175" s="93"/>
      <c r="C175" s="93"/>
      <c r="D175" s="93"/>
      <c r="E175" s="93"/>
      <c r="F175" s="93"/>
      <c r="G175" s="93"/>
      <c r="H175" s="93"/>
    </row>
    <row r="176" spans="1:15" x14ac:dyDescent="0.25">
      <c r="B176" s="274"/>
      <c r="C176" s="275"/>
      <c r="D176" s="275"/>
      <c r="E176" s="275"/>
      <c r="F176" s="276"/>
      <c r="G176" s="277"/>
      <c r="H176" s="93"/>
    </row>
    <row r="177" spans="2:8" x14ac:dyDescent="0.25">
      <c r="B177" s="278"/>
      <c r="C177" s="275"/>
      <c r="D177" s="275"/>
      <c r="E177" s="275"/>
      <c r="F177" s="276"/>
      <c r="G177" s="277"/>
      <c r="H177" s="93"/>
    </row>
    <row r="178" spans="2:8" x14ac:dyDescent="0.25">
      <c r="B178" s="278"/>
      <c r="C178" s="275"/>
      <c r="D178" s="275"/>
      <c r="E178" s="275"/>
      <c r="F178" s="276"/>
      <c r="G178" s="277"/>
      <c r="H178" s="93"/>
    </row>
    <row r="179" spans="2:8" x14ac:dyDescent="0.25">
      <c r="B179" s="278"/>
      <c r="C179" s="275"/>
      <c r="D179" s="275"/>
      <c r="E179" s="275"/>
      <c r="F179" s="276"/>
      <c r="G179" s="277"/>
      <c r="H179" s="93"/>
    </row>
    <row r="180" spans="2:8" x14ac:dyDescent="0.25">
      <c r="B180" s="278"/>
      <c r="C180" s="275"/>
      <c r="D180" s="275"/>
      <c r="E180" s="275"/>
      <c r="F180" s="276"/>
      <c r="G180" s="277"/>
      <c r="H180" s="93"/>
    </row>
    <row r="181" spans="2:8" x14ac:dyDescent="0.25">
      <c r="B181" s="278"/>
      <c r="C181" s="275"/>
      <c r="D181" s="275"/>
      <c r="E181" s="275"/>
      <c r="F181" s="276"/>
      <c r="G181" s="277"/>
      <c r="H181" s="93"/>
    </row>
    <row r="182" spans="2:8" x14ac:dyDescent="0.25">
      <c r="B182" s="278"/>
      <c r="C182" s="275"/>
      <c r="D182" s="275"/>
      <c r="E182" s="275"/>
      <c r="F182" s="276"/>
      <c r="G182" s="277"/>
      <c r="H182" s="93"/>
    </row>
    <row r="183" spans="2:8" x14ac:dyDescent="0.25">
      <c r="B183" s="278"/>
      <c r="C183" s="275"/>
      <c r="D183" s="275"/>
      <c r="E183" s="275"/>
      <c r="F183" s="276"/>
      <c r="G183" s="277"/>
      <c r="H183" s="93"/>
    </row>
    <row r="184" spans="2:8" x14ac:dyDescent="0.25">
      <c r="B184" s="278"/>
      <c r="C184" s="275"/>
      <c r="D184" s="275"/>
      <c r="E184" s="275"/>
      <c r="F184" s="276"/>
      <c r="G184" s="277"/>
      <c r="H184" s="93"/>
    </row>
    <row r="185" spans="2:8" x14ac:dyDescent="0.25">
      <c r="B185" s="278"/>
      <c r="C185" s="275"/>
      <c r="D185" s="275"/>
      <c r="E185" s="275"/>
      <c r="F185" s="276"/>
      <c r="G185" s="275"/>
      <c r="H185" s="93"/>
    </row>
    <row r="186" spans="2:8" x14ac:dyDescent="0.25">
      <c r="B186" s="278"/>
      <c r="C186" s="275"/>
      <c r="D186" s="275"/>
      <c r="E186" s="275"/>
      <c r="F186" s="276"/>
      <c r="G186" s="275"/>
      <c r="H186" s="93"/>
    </row>
    <row r="187" spans="2:8" x14ac:dyDescent="0.25">
      <c r="B187" s="93"/>
      <c r="C187" s="93"/>
      <c r="D187" s="93"/>
      <c r="E187" s="93"/>
      <c r="F187" s="93"/>
      <c r="G187" s="93"/>
      <c r="H187" s="93"/>
    </row>
    <row r="188" spans="2:8" x14ac:dyDescent="0.25">
      <c r="B188" s="93"/>
      <c r="C188" s="93"/>
      <c r="D188" s="93"/>
      <c r="E188" s="93"/>
      <c r="F188" s="93"/>
      <c r="G188" s="279"/>
      <c r="H188" s="93"/>
    </row>
    <row r="189" spans="2:8" x14ac:dyDescent="0.25">
      <c r="B189" s="93"/>
      <c r="C189" s="93"/>
      <c r="D189" s="93"/>
      <c r="E189" s="93"/>
      <c r="F189" s="93"/>
      <c r="G189" s="279"/>
      <c r="H189" s="93"/>
    </row>
    <row r="190" spans="2:8" x14ac:dyDescent="0.25">
      <c r="B190" s="93"/>
      <c r="C190" s="93"/>
      <c r="D190" s="93"/>
      <c r="E190" s="93"/>
      <c r="F190" s="93"/>
      <c r="G190" s="93"/>
      <c r="H190" s="93"/>
    </row>
    <row r="191" spans="2:8" x14ac:dyDescent="0.25">
      <c r="B191" s="93"/>
      <c r="C191" s="93"/>
      <c r="D191" s="93"/>
      <c r="E191" s="93"/>
      <c r="F191" s="93"/>
      <c r="G191" s="93"/>
      <c r="H191" s="93"/>
    </row>
  </sheetData>
  <mergeCells count="8">
    <mergeCell ref="C7:F7"/>
    <mergeCell ref="A1:C1"/>
    <mergeCell ref="D1:CT1"/>
    <mergeCell ref="A2:C2"/>
    <mergeCell ref="D2:CT2"/>
    <mergeCell ref="D3:CT3"/>
    <mergeCell ref="A4:C4"/>
    <mergeCell ref="D4:E4"/>
  </mergeCells>
  <pageMargins left="0.4" right="0.28999999999999998" top="0.43" bottom="0.75" header="0.3" footer="0.3"/>
  <pageSetup scale="77" fitToHeight="6" orientation="landscape" horizontalDpi="4294967295" verticalDpi="4294967295" r:id="rId1"/>
  <ignoredErrors>
    <ignoredError sqref="H54:J54 J70:K70 G18" formula="1"/>
  </ignoredError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171"/>
  <sheetViews>
    <sheetView zoomScale="75" zoomScaleNormal="75" workbookViewId="0">
      <pane xSplit="4" ySplit="10" topLeftCell="AI149" activePane="bottomRight" state="frozen"/>
      <selection pane="topRight" activeCell="E1" sqref="E1"/>
      <selection pane="bottomLeft" activeCell="A11" sqref="A11"/>
      <selection pane="bottomRight" activeCell="D170" sqref="D170"/>
    </sheetView>
  </sheetViews>
  <sheetFormatPr defaultRowHeight="12.75" x14ac:dyDescent="0.25"/>
  <cols>
    <col min="1" max="1" width="5.28515625" style="255" customWidth="1"/>
    <col min="2" max="2" width="14.28515625" style="32" customWidth="1"/>
    <col min="3" max="3" width="84.5703125" style="15" customWidth="1"/>
    <col min="4" max="5" width="20.140625" style="15" bestFit="1" customWidth="1"/>
    <col min="6" max="6" width="15.85546875" style="15" customWidth="1"/>
    <col min="7" max="7" width="19.7109375" style="15" bestFit="1" customWidth="1"/>
    <col min="8" max="8" width="16.140625" style="15" customWidth="1"/>
    <col min="9" max="9" width="19.7109375" style="15" bestFit="1" customWidth="1"/>
    <col min="10" max="10" width="16.28515625" style="15" customWidth="1"/>
    <col min="11" max="11" width="20.5703125" style="15" bestFit="1" customWidth="1"/>
    <col min="12" max="12" width="15.85546875" style="15" customWidth="1"/>
    <col min="13" max="13" width="20.42578125" style="15" customWidth="1"/>
    <col min="14" max="16" width="15.85546875" style="15" customWidth="1"/>
    <col min="17" max="17" width="19.85546875" style="15" bestFit="1" customWidth="1"/>
    <col min="18" max="18" width="18.140625" style="15" bestFit="1" customWidth="1"/>
    <col min="19" max="19" width="19.85546875" style="15" bestFit="1" customWidth="1"/>
    <col min="20" max="20" width="19.5703125" style="15" bestFit="1" customWidth="1"/>
    <col min="21" max="21" width="19.7109375" style="15" bestFit="1" customWidth="1"/>
    <col min="22" max="22" width="20.140625" style="15" bestFit="1" customWidth="1"/>
    <col min="23" max="24" width="20.5703125" style="15" bestFit="1" customWidth="1"/>
    <col min="25" max="25" width="19.42578125" style="15" customWidth="1"/>
    <col min="26" max="26" width="14.85546875" style="15" bestFit="1" customWidth="1"/>
    <col min="27" max="27" width="20.7109375" style="15" customWidth="1"/>
    <col min="28" max="28" width="17" style="15" bestFit="1" customWidth="1"/>
    <col min="29" max="29" width="18.5703125" style="15" customWidth="1"/>
    <col min="30" max="30" width="15.7109375" style="15" customWidth="1"/>
    <col min="31" max="31" width="16.28515625" style="15" bestFit="1" customWidth="1"/>
    <col min="32" max="32" width="14.85546875" style="15" bestFit="1" customWidth="1"/>
    <col min="33" max="33" width="18.140625" style="15" bestFit="1" customWidth="1"/>
    <col min="34" max="34" width="14.85546875" style="15" customWidth="1"/>
    <col min="35" max="35" width="19.7109375" style="15" bestFit="1" customWidth="1"/>
    <col min="36" max="36" width="14.85546875" style="15" bestFit="1" customWidth="1"/>
    <col min="37" max="37" width="21.5703125" style="15" customWidth="1"/>
    <col min="38" max="38" width="28.7109375" style="15" customWidth="1"/>
    <col min="39" max="39" width="23.85546875" style="15" customWidth="1"/>
    <col min="40" max="40" width="16.7109375" style="15" customWidth="1"/>
    <col min="41" max="41" width="18.140625" style="15" bestFit="1" customWidth="1"/>
    <col min="42" max="280" width="9.140625" style="15"/>
    <col min="281" max="281" width="5.28515625" style="15" customWidth="1"/>
    <col min="282" max="282" width="7.140625" style="15" customWidth="1"/>
    <col min="283" max="283" width="37.85546875" style="15" customWidth="1"/>
    <col min="284" max="284" width="13" style="15" customWidth="1"/>
    <col min="285" max="292" width="8.7109375" style="15" customWidth="1"/>
    <col min="293" max="293" width="11.28515625" style="15" customWidth="1"/>
    <col min="294" max="294" width="8.7109375" style="15" customWidth="1"/>
    <col min="295" max="536" width="9.140625" style="15"/>
    <col min="537" max="537" width="5.28515625" style="15" customWidth="1"/>
    <col min="538" max="538" width="7.140625" style="15" customWidth="1"/>
    <col min="539" max="539" width="37.85546875" style="15" customWidth="1"/>
    <col min="540" max="540" width="13" style="15" customWidth="1"/>
    <col min="541" max="548" width="8.7109375" style="15" customWidth="1"/>
    <col min="549" max="549" width="11.28515625" style="15" customWidth="1"/>
    <col min="550" max="550" width="8.7109375" style="15" customWidth="1"/>
    <col min="551" max="792" width="9.140625" style="15"/>
    <col min="793" max="793" width="5.28515625" style="15" customWidth="1"/>
    <col min="794" max="794" width="7.140625" style="15" customWidth="1"/>
    <col min="795" max="795" width="37.85546875" style="15" customWidth="1"/>
    <col min="796" max="796" width="13" style="15" customWidth="1"/>
    <col min="797" max="804" width="8.7109375" style="15" customWidth="1"/>
    <col min="805" max="805" width="11.28515625" style="15" customWidth="1"/>
    <col min="806" max="806" width="8.7109375" style="15" customWidth="1"/>
    <col min="807" max="1048" width="9.140625" style="15"/>
    <col min="1049" max="1049" width="5.28515625" style="15" customWidth="1"/>
    <col min="1050" max="1050" width="7.140625" style="15" customWidth="1"/>
    <col min="1051" max="1051" width="37.85546875" style="15" customWidth="1"/>
    <col min="1052" max="1052" width="13" style="15" customWidth="1"/>
    <col min="1053" max="1060" width="8.7109375" style="15" customWidth="1"/>
    <col min="1061" max="1061" width="11.28515625" style="15" customWidth="1"/>
    <col min="1062" max="1062" width="8.7109375" style="15" customWidth="1"/>
    <col min="1063" max="1304" width="9.140625" style="15"/>
    <col min="1305" max="1305" width="5.28515625" style="15" customWidth="1"/>
    <col min="1306" max="1306" width="7.140625" style="15" customWidth="1"/>
    <col min="1307" max="1307" width="37.85546875" style="15" customWidth="1"/>
    <col min="1308" max="1308" width="13" style="15" customWidth="1"/>
    <col min="1309" max="1316" width="8.7109375" style="15" customWidth="1"/>
    <col min="1317" max="1317" width="11.28515625" style="15" customWidth="1"/>
    <col min="1318" max="1318" width="8.7109375" style="15" customWidth="1"/>
    <col min="1319" max="1560" width="9.140625" style="15"/>
    <col min="1561" max="1561" width="5.28515625" style="15" customWidth="1"/>
    <col min="1562" max="1562" width="7.140625" style="15" customWidth="1"/>
    <col min="1563" max="1563" width="37.85546875" style="15" customWidth="1"/>
    <col min="1564" max="1564" width="13" style="15" customWidth="1"/>
    <col min="1565" max="1572" width="8.7109375" style="15" customWidth="1"/>
    <col min="1573" max="1573" width="11.28515625" style="15" customWidth="1"/>
    <col min="1574" max="1574" width="8.7109375" style="15" customWidth="1"/>
    <col min="1575" max="1816" width="9.140625" style="15"/>
    <col min="1817" max="1817" width="5.28515625" style="15" customWidth="1"/>
    <col min="1818" max="1818" width="7.140625" style="15" customWidth="1"/>
    <col min="1819" max="1819" width="37.85546875" style="15" customWidth="1"/>
    <col min="1820" max="1820" width="13" style="15" customWidth="1"/>
    <col min="1821" max="1828" width="8.7109375" style="15" customWidth="1"/>
    <col min="1829" max="1829" width="11.28515625" style="15" customWidth="1"/>
    <col min="1830" max="1830" width="8.7109375" style="15" customWidth="1"/>
    <col min="1831" max="2072" width="9.140625" style="15"/>
    <col min="2073" max="2073" width="5.28515625" style="15" customWidth="1"/>
    <col min="2074" max="2074" width="7.140625" style="15" customWidth="1"/>
    <col min="2075" max="2075" width="37.85546875" style="15" customWidth="1"/>
    <col min="2076" max="2076" width="13" style="15" customWidth="1"/>
    <col min="2077" max="2084" width="8.7109375" style="15" customWidth="1"/>
    <col min="2085" max="2085" width="11.28515625" style="15" customWidth="1"/>
    <col min="2086" max="2086" width="8.7109375" style="15" customWidth="1"/>
    <col min="2087" max="2328" width="9.140625" style="15"/>
    <col min="2329" max="2329" width="5.28515625" style="15" customWidth="1"/>
    <col min="2330" max="2330" width="7.140625" style="15" customWidth="1"/>
    <col min="2331" max="2331" width="37.85546875" style="15" customWidth="1"/>
    <col min="2332" max="2332" width="13" style="15" customWidth="1"/>
    <col min="2333" max="2340" width="8.7109375" style="15" customWidth="1"/>
    <col min="2341" max="2341" width="11.28515625" style="15" customWidth="1"/>
    <col min="2342" max="2342" width="8.7109375" style="15" customWidth="1"/>
    <col min="2343" max="2584" width="9.140625" style="15"/>
    <col min="2585" max="2585" width="5.28515625" style="15" customWidth="1"/>
    <col min="2586" max="2586" width="7.140625" style="15" customWidth="1"/>
    <col min="2587" max="2587" width="37.85546875" style="15" customWidth="1"/>
    <col min="2588" max="2588" width="13" style="15" customWidth="1"/>
    <col min="2589" max="2596" width="8.7109375" style="15" customWidth="1"/>
    <col min="2597" max="2597" width="11.28515625" style="15" customWidth="1"/>
    <col min="2598" max="2598" width="8.7109375" style="15" customWidth="1"/>
    <col min="2599" max="2840" width="9.140625" style="15"/>
    <col min="2841" max="2841" width="5.28515625" style="15" customWidth="1"/>
    <col min="2842" max="2842" width="7.140625" style="15" customWidth="1"/>
    <col min="2843" max="2843" width="37.85546875" style="15" customWidth="1"/>
    <col min="2844" max="2844" width="13" style="15" customWidth="1"/>
    <col min="2845" max="2852" width="8.7109375" style="15" customWidth="1"/>
    <col min="2853" max="2853" width="11.28515625" style="15" customWidth="1"/>
    <col min="2854" max="2854" width="8.7109375" style="15" customWidth="1"/>
    <col min="2855" max="3096" width="9.140625" style="15"/>
    <col min="3097" max="3097" width="5.28515625" style="15" customWidth="1"/>
    <col min="3098" max="3098" width="7.140625" style="15" customWidth="1"/>
    <col min="3099" max="3099" width="37.85546875" style="15" customWidth="1"/>
    <col min="3100" max="3100" width="13" style="15" customWidth="1"/>
    <col min="3101" max="3108" width="8.7109375" style="15" customWidth="1"/>
    <col min="3109" max="3109" width="11.28515625" style="15" customWidth="1"/>
    <col min="3110" max="3110" width="8.7109375" style="15" customWidth="1"/>
    <col min="3111" max="3352" width="9.140625" style="15"/>
    <col min="3353" max="3353" width="5.28515625" style="15" customWidth="1"/>
    <col min="3354" max="3354" width="7.140625" style="15" customWidth="1"/>
    <col min="3355" max="3355" width="37.85546875" style="15" customWidth="1"/>
    <col min="3356" max="3356" width="13" style="15" customWidth="1"/>
    <col min="3357" max="3364" width="8.7109375" style="15" customWidth="1"/>
    <col min="3365" max="3365" width="11.28515625" style="15" customWidth="1"/>
    <col min="3366" max="3366" width="8.7109375" style="15" customWidth="1"/>
    <col min="3367" max="3608" width="9.140625" style="15"/>
    <col min="3609" max="3609" width="5.28515625" style="15" customWidth="1"/>
    <col min="3610" max="3610" width="7.140625" style="15" customWidth="1"/>
    <col min="3611" max="3611" width="37.85546875" style="15" customWidth="1"/>
    <col min="3612" max="3612" width="13" style="15" customWidth="1"/>
    <col min="3613" max="3620" width="8.7109375" style="15" customWidth="1"/>
    <col min="3621" max="3621" width="11.28515625" style="15" customWidth="1"/>
    <col min="3622" max="3622" width="8.7109375" style="15" customWidth="1"/>
    <col min="3623" max="3864" width="9.140625" style="15"/>
    <col min="3865" max="3865" width="5.28515625" style="15" customWidth="1"/>
    <col min="3866" max="3866" width="7.140625" style="15" customWidth="1"/>
    <col min="3867" max="3867" width="37.85546875" style="15" customWidth="1"/>
    <col min="3868" max="3868" width="13" style="15" customWidth="1"/>
    <col min="3869" max="3876" width="8.7109375" style="15" customWidth="1"/>
    <col min="3877" max="3877" width="11.28515625" style="15" customWidth="1"/>
    <col min="3878" max="3878" width="8.7109375" style="15" customWidth="1"/>
    <col min="3879" max="4120" width="9.140625" style="15"/>
    <col min="4121" max="4121" width="5.28515625" style="15" customWidth="1"/>
    <col min="4122" max="4122" width="7.140625" style="15" customWidth="1"/>
    <col min="4123" max="4123" width="37.85546875" style="15" customWidth="1"/>
    <col min="4124" max="4124" width="13" style="15" customWidth="1"/>
    <col min="4125" max="4132" width="8.7109375" style="15" customWidth="1"/>
    <col min="4133" max="4133" width="11.28515625" style="15" customWidth="1"/>
    <col min="4134" max="4134" width="8.7109375" style="15" customWidth="1"/>
    <col min="4135" max="4376" width="9.140625" style="15"/>
    <col min="4377" max="4377" width="5.28515625" style="15" customWidth="1"/>
    <col min="4378" max="4378" width="7.140625" style="15" customWidth="1"/>
    <col min="4379" max="4379" width="37.85546875" style="15" customWidth="1"/>
    <col min="4380" max="4380" width="13" style="15" customWidth="1"/>
    <col min="4381" max="4388" width="8.7109375" style="15" customWidth="1"/>
    <col min="4389" max="4389" width="11.28515625" style="15" customWidth="1"/>
    <col min="4390" max="4390" width="8.7109375" style="15" customWidth="1"/>
    <col min="4391" max="4632" width="9.140625" style="15"/>
    <col min="4633" max="4633" width="5.28515625" style="15" customWidth="1"/>
    <col min="4634" max="4634" width="7.140625" style="15" customWidth="1"/>
    <col min="4635" max="4635" width="37.85546875" style="15" customWidth="1"/>
    <col min="4636" max="4636" width="13" style="15" customWidth="1"/>
    <col min="4637" max="4644" width="8.7109375" style="15" customWidth="1"/>
    <col min="4645" max="4645" width="11.28515625" style="15" customWidth="1"/>
    <col min="4646" max="4646" width="8.7109375" style="15" customWidth="1"/>
    <col min="4647" max="4888" width="9.140625" style="15"/>
    <col min="4889" max="4889" width="5.28515625" style="15" customWidth="1"/>
    <col min="4890" max="4890" width="7.140625" style="15" customWidth="1"/>
    <col min="4891" max="4891" width="37.85546875" style="15" customWidth="1"/>
    <col min="4892" max="4892" width="13" style="15" customWidth="1"/>
    <col min="4893" max="4900" width="8.7109375" style="15" customWidth="1"/>
    <col min="4901" max="4901" width="11.28515625" style="15" customWidth="1"/>
    <col min="4902" max="4902" width="8.7109375" style="15" customWidth="1"/>
    <col min="4903" max="5144" width="9.140625" style="15"/>
    <col min="5145" max="5145" width="5.28515625" style="15" customWidth="1"/>
    <col min="5146" max="5146" width="7.140625" style="15" customWidth="1"/>
    <col min="5147" max="5147" width="37.85546875" style="15" customWidth="1"/>
    <col min="5148" max="5148" width="13" style="15" customWidth="1"/>
    <col min="5149" max="5156" width="8.7109375" style="15" customWidth="1"/>
    <col min="5157" max="5157" width="11.28515625" style="15" customWidth="1"/>
    <col min="5158" max="5158" width="8.7109375" style="15" customWidth="1"/>
    <col min="5159" max="5400" width="9.140625" style="15"/>
    <col min="5401" max="5401" width="5.28515625" style="15" customWidth="1"/>
    <col min="5402" max="5402" width="7.140625" style="15" customWidth="1"/>
    <col min="5403" max="5403" width="37.85546875" style="15" customWidth="1"/>
    <col min="5404" max="5404" width="13" style="15" customWidth="1"/>
    <col min="5405" max="5412" width="8.7109375" style="15" customWidth="1"/>
    <col min="5413" max="5413" width="11.28515625" style="15" customWidth="1"/>
    <col min="5414" max="5414" width="8.7109375" style="15" customWidth="1"/>
    <col min="5415" max="5656" width="9.140625" style="15"/>
    <col min="5657" max="5657" width="5.28515625" style="15" customWidth="1"/>
    <col min="5658" max="5658" width="7.140625" style="15" customWidth="1"/>
    <col min="5659" max="5659" width="37.85546875" style="15" customWidth="1"/>
    <col min="5660" max="5660" width="13" style="15" customWidth="1"/>
    <col min="5661" max="5668" width="8.7109375" style="15" customWidth="1"/>
    <col min="5669" max="5669" width="11.28515625" style="15" customWidth="1"/>
    <col min="5670" max="5670" width="8.7109375" style="15" customWidth="1"/>
    <col min="5671" max="5912" width="9.140625" style="15"/>
    <col min="5913" max="5913" width="5.28515625" style="15" customWidth="1"/>
    <col min="5914" max="5914" width="7.140625" style="15" customWidth="1"/>
    <col min="5915" max="5915" width="37.85546875" style="15" customWidth="1"/>
    <col min="5916" max="5916" width="13" style="15" customWidth="1"/>
    <col min="5917" max="5924" width="8.7109375" style="15" customWidth="1"/>
    <col min="5925" max="5925" width="11.28515625" style="15" customWidth="1"/>
    <col min="5926" max="5926" width="8.7109375" style="15" customWidth="1"/>
    <col min="5927" max="6168" width="9.140625" style="15"/>
    <col min="6169" max="6169" width="5.28515625" style="15" customWidth="1"/>
    <col min="6170" max="6170" width="7.140625" style="15" customWidth="1"/>
    <col min="6171" max="6171" width="37.85546875" style="15" customWidth="1"/>
    <col min="6172" max="6172" width="13" style="15" customWidth="1"/>
    <col min="6173" max="6180" width="8.7109375" style="15" customWidth="1"/>
    <col min="6181" max="6181" width="11.28515625" style="15" customWidth="1"/>
    <col min="6182" max="6182" width="8.7109375" style="15" customWidth="1"/>
    <col min="6183" max="6424" width="9.140625" style="15"/>
    <col min="6425" max="6425" width="5.28515625" style="15" customWidth="1"/>
    <col min="6426" max="6426" width="7.140625" style="15" customWidth="1"/>
    <col min="6427" max="6427" width="37.85546875" style="15" customWidth="1"/>
    <col min="6428" max="6428" width="13" style="15" customWidth="1"/>
    <col min="6429" max="6436" width="8.7109375" style="15" customWidth="1"/>
    <col min="6437" max="6437" width="11.28515625" style="15" customWidth="1"/>
    <col min="6438" max="6438" width="8.7109375" style="15" customWidth="1"/>
    <col min="6439" max="6680" width="9.140625" style="15"/>
    <col min="6681" max="6681" width="5.28515625" style="15" customWidth="1"/>
    <col min="6682" max="6682" width="7.140625" style="15" customWidth="1"/>
    <col min="6683" max="6683" width="37.85546875" style="15" customWidth="1"/>
    <col min="6684" max="6684" width="13" style="15" customWidth="1"/>
    <col min="6685" max="6692" width="8.7109375" style="15" customWidth="1"/>
    <col min="6693" max="6693" width="11.28515625" style="15" customWidth="1"/>
    <col min="6694" max="6694" width="8.7109375" style="15" customWidth="1"/>
    <col min="6695" max="6936" width="9.140625" style="15"/>
    <col min="6937" max="6937" width="5.28515625" style="15" customWidth="1"/>
    <col min="6938" max="6938" width="7.140625" style="15" customWidth="1"/>
    <col min="6939" max="6939" width="37.85546875" style="15" customWidth="1"/>
    <col min="6940" max="6940" width="13" style="15" customWidth="1"/>
    <col min="6941" max="6948" width="8.7109375" style="15" customWidth="1"/>
    <col min="6949" max="6949" width="11.28515625" style="15" customWidth="1"/>
    <col min="6950" max="6950" width="8.7109375" style="15" customWidth="1"/>
    <col min="6951" max="7192" width="9.140625" style="15"/>
    <col min="7193" max="7193" width="5.28515625" style="15" customWidth="1"/>
    <col min="7194" max="7194" width="7.140625" style="15" customWidth="1"/>
    <col min="7195" max="7195" width="37.85546875" style="15" customWidth="1"/>
    <col min="7196" max="7196" width="13" style="15" customWidth="1"/>
    <col min="7197" max="7204" width="8.7109375" style="15" customWidth="1"/>
    <col min="7205" max="7205" width="11.28515625" style="15" customWidth="1"/>
    <col min="7206" max="7206" width="8.7109375" style="15" customWidth="1"/>
    <col min="7207" max="7448" width="9.140625" style="15"/>
    <col min="7449" max="7449" width="5.28515625" style="15" customWidth="1"/>
    <col min="7450" max="7450" width="7.140625" style="15" customWidth="1"/>
    <col min="7451" max="7451" width="37.85546875" style="15" customWidth="1"/>
    <col min="7452" max="7452" width="13" style="15" customWidth="1"/>
    <col min="7453" max="7460" width="8.7109375" style="15" customWidth="1"/>
    <col min="7461" max="7461" width="11.28515625" style="15" customWidth="1"/>
    <col min="7462" max="7462" width="8.7109375" style="15" customWidth="1"/>
    <col min="7463" max="7704" width="9.140625" style="15"/>
    <col min="7705" max="7705" width="5.28515625" style="15" customWidth="1"/>
    <col min="7706" max="7706" width="7.140625" style="15" customWidth="1"/>
    <col min="7707" max="7707" width="37.85546875" style="15" customWidth="1"/>
    <col min="7708" max="7708" width="13" style="15" customWidth="1"/>
    <col min="7709" max="7716" width="8.7109375" style="15" customWidth="1"/>
    <col min="7717" max="7717" width="11.28515625" style="15" customWidth="1"/>
    <col min="7718" max="7718" width="8.7109375" style="15" customWidth="1"/>
    <col min="7719" max="7960" width="9.140625" style="15"/>
    <col min="7961" max="7961" width="5.28515625" style="15" customWidth="1"/>
    <col min="7962" max="7962" width="7.140625" style="15" customWidth="1"/>
    <col min="7963" max="7963" width="37.85546875" style="15" customWidth="1"/>
    <col min="7964" max="7964" width="13" style="15" customWidth="1"/>
    <col min="7965" max="7972" width="8.7109375" style="15" customWidth="1"/>
    <col min="7973" max="7973" width="11.28515625" style="15" customWidth="1"/>
    <col min="7974" max="7974" width="8.7109375" style="15" customWidth="1"/>
    <col min="7975" max="8216" width="9.140625" style="15"/>
    <col min="8217" max="8217" width="5.28515625" style="15" customWidth="1"/>
    <col min="8218" max="8218" width="7.140625" style="15" customWidth="1"/>
    <col min="8219" max="8219" width="37.85546875" style="15" customWidth="1"/>
    <col min="8220" max="8220" width="13" style="15" customWidth="1"/>
    <col min="8221" max="8228" width="8.7109375" style="15" customWidth="1"/>
    <col min="8229" max="8229" width="11.28515625" style="15" customWidth="1"/>
    <col min="8230" max="8230" width="8.7109375" style="15" customWidth="1"/>
    <col min="8231" max="8472" width="9.140625" style="15"/>
    <col min="8473" max="8473" width="5.28515625" style="15" customWidth="1"/>
    <col min="8474" max="8474" width="7.140625" style="15" customWidth="1"/>
    <col min="8475" max="8475" width="37.85546875" style="15" customWidth="1"/>
    <col min="8476" max="8476" width="13" style="15" customWidth="1"/>
    <col min="8477" max="8484" width="8.7109375" style="15" customWidth="1"/>
    <col min="8485" max="8485" width="11.28515625" style="15" customWidth="1"/>
    <col min="8486" max="8486" width="8.7109375" style="15" customWidth="1"/>
    <col min="8487" max="8728" width="9.140625" style="15"/>
    <col min="8729" max="8729" width="5.28515625" style="15" customWidth="1"/>
    <col min="8730" max="8730" width="7.140625" style="15" customWidth="1"/>
    <col min="8731" max="8731" width="37.85546875" style="15" customWidth="1"/>
    <col min="8732" max="8732" width="13" style="15" customWidth="1"/>
    <col min="8733" max="8740" width="8.7109375" style="15" customWidth="1"/>
    <col min="8741" max="8741" width="11.28515625" style="15" customWidth="1"/>
    <col min="8742" max="8742" width="8.7109375" style="15" customWidth="1"/>
    <col min="8743" max="8984" width="9.140625" style="15"/>
    <col min="8985" max="8985" width="5.28515625" style="15" customWidth="1"/>
    <col min="8986" max="8986" width="7.140625" style="15" customWidth="1"/>
    <col min="8987" max="8987" width="37.85546875" style="15" customWidth="1"/>
    <col min="8988" max="8988" width="13" style="15" customWidth="1"/>
    <col min="8989" max="8996" width="8.7109375" style="15" customWidth="1"/>
    <col min="8997" max="8997" width="11.28515625" style="15" customWidth="1"/>
    <col min="8998" max="8998" width="8.7109375" style="15" customWidth="1"/>
    <col min="8999" max="9240" width="9.140625" style="15"/>
    <col min="9241" max="9241" width="5.28515625" style="15" customWidth="1"/>
    <col min="9242" max="9242" width="7.140625" style="15" customWidth="1"/>
    <col min="9243" max="9243" width="37.85546875" style="15" customWidth="1"/>
    <col min="9244" max="9244" width="13" style="15" customWidth="1"/>
    <col min="9245" max="9252" width="8.7109375" style="15" customWidth="1"/>
    <col min="9253" max="9253" width="11.28515625" style="15" customWidth="1"/>
    <col min="9254" max="9254" width="8.7109375" style="15" customWidth="1"/>
    <col min="9255" max="9496" width="9.140625" style="15"/>
    <col min="9497" max="9497" width="5.28515625" style="15" customWidth="1"/>
    <col min="9498" max="9498" width="7.140625" style="15" customWidth="1"/>
    <col min="9499" max="9499" width="37.85546875" style="15" customWidth="1"/>
    <col min="9500" max="9500" width="13" style="15" customWidth="1"/>
    <col min="9501" max="9508" width="8.7109375" style="15" customWidth="1"/>
    <col min="9509" max="9509" width="11.28515625" style="15" customWidth="1"/>
    <col min="9510" max="9510" width="8.7109375" style="15" customWidth="1"/>
    <col min="9511" max="9752" width="9.140625" style="15"/>
    <col min="9753" max="9753" width="5.28515625" style="15" customWidth="1"/>
    <col min="9754" max="9754" width="7.140625" style="15" customWidth="1"/>
    <col min="9755" max="9755" width="37.85546875" style="15" customWidth="1"/>
    <col min="9756" max="9756" width="13" style="15" customWidth="1"/>
    <col min="9757" max="9764" width="8.7109375" style="15" customWidth="1"/>
    <col min="9765" max="9765" width="11.28515625" style="15" customWidth="1"/>
    <col min="9766" max="9766" width="8.7109375" style="15" customWidth="1"/>
    <col min="9767" max="10008" width="9.140625" style="15"/>
    <col min="10009" max="10009" width="5.28515625" style="15" customWidth="1"/>
    <col min="10010" max="10010" width="7.140625" style="15" customWidth="1"/>
    <col min="10011" max="10011" width="37.85546875" style="15" customWidth="1"/>
    <col min="10012" max="10012" width="13" style="15" customWidth="1"/>
    <col min="10013" max="10020" width="8.7109375" style="15" customWidth="1"/>
    <col min="10021" max="10021" width="11.28515625" style="15" customWidth="1"/>
    <col min="10022" max="10022" width="8.7109375" style="15" customWidth="1"/>
    <col min="10023" max="10264" width="9.140625" style="15"/>
    <col min="10265" max="10265" width="5.28515625" style="15" customWidth="1"/>
    <col min="10266" max="10266" width="7.140625" style="15" customWidth="1"/>
    <col min="10267" max="10267" width="37.85546875" style="15" customWidth="1"/>
    <col min="10268" max="10268" width="13" style="15" customWidth="1"/>
    <col min="10269" max="10276" width="8.7109375" style="15" customWidth="1"/>
    <col min="10277" max="10277" width="11.28515625" style="15" customWidth="1"/>
    <col min="10278" max="10278" width="8.7109375" style="15" customWidth="1"/>
    <col min="10279" max="10520" width="9.140625" style="15"/>
    <col min="10521" max="10521" width="5.28515625" style="15" customWidth="1"/>
    <col min="10522" max="10522" width="7.140625" style="15" customWidth="1"/>
    <col min="10523" max="10523" width="37.85546875" style="15" customWidth="1"/>
    <col min="10524" max="10524" width="13" style="15" customWidth="1"/>
    <col min="10525" max="10532" width="8.7109375" style="15" customWidth="1"/>
    <col min="10533" max="10533" width="11.28515625" style="15" customWidth="1"/>
    <col min="10534" max="10534" width="8.7109375" style="15" customWidth="1"/>
    <col min="10535" max="10776" width="9.140625" style="15"/>
    <col min="10777" max="10777" width="5.28515625" style="15" customWidth="1"/>
    <col min="10778" max="10778" width="7.140625" style="15" customWidth="1"/>
    <col min="10779" max="10779" width="37.85546875" style="15" customWidth="1"/>
    <col min="10780" max="10780" width="13" style="15" customWidth="1"/>
    <col min="10781" max="10788" width="8.7109375" style="15" customWidth="1"/>
    <col min="10789" max="10789" width="11.28515625" style="15" customWidth="1"/>
    <col min="10790" max="10790" width="8.7109375" style="15" customWidth="1"/>
    <col min="10791" max="11032" width="9.140625" style="15"/>
    <col min="11033" max="11033" width="5.28515625" style="15" customWidth="1"/>
    <col min="11034" max="11034" width="7.140625" style="15" customWidth="1"/>
    <col min="11035" max="11035" width="37.85546875" style="15" customWidth="1"/>
    <col min="11036" max="11036" width="13" style="15" customWidth="1"/>
    <col min="11037" max="11044" width="8.7109375" style="15" customWidth="1"/>
    <col min="11045" max="11045" width="11.28515625" style="15" customWidth="1"/>
    <col min="11046" max="11046" width="8.7109375" style="15" customWidth="1"/>
    <col min="11047" max="11288" width="9.140625" style="15"/>
    <col min="11289" max="11289" width="5.28515625" style="15" customWidth="1"/>
    <col min="11290" max="11290" width="7.140625" style="15" customWidth="1"/>
    <col min="11291" max="11291" width="37.85546875" style="15" customWidth="1"/>
    <col min="11292" max="11292" width="13" style="15" customWidth="1"/>
    <col min="11293" max="11300" width="8.7109375" style="15" customWidth="1"/>
    <col min="11301" max="11301" width="11.28515625" style="15" customWidth="1"/>
    <col min="11302" max="11302" width="8.7109375" style="15" customWidth="1"/>
    <col min="11303" max="11544" width="9.140625" style="15"/>
    <col min="11545" max="11545" width="5.28515625" style="15" customWidth="1"/>
    <col min="11546" max="11546" width="7.140625" style="15" customWidth="1"/>
    <col min="11547" max="11547" width="37.85546875" style="15" customWidth="1"/>
    <col min="11548" max="11548" width="13" style="15" customWidth="1"/>
    <col min="11549" max="11556" width="8.7109375" style="15" customWidth="1"/>
    <col min="11557" max="11557" width="11.28515625" style="15" customWidth="1"/>
    <col min="11558" max="11558" width="8.7109375" style="15" customWidth="1"/>
    <col min="11559" max="11800" width="9.140625" style="15"/>
    <col min="11801" max="11801" width="5.28515625" style="15" customWidth="1"/>
    <col min="11802" max="11802" width="7.140625" style="15" customWidth="1"/>
    <col min="11803" max="11803" width="37.85546875" style="15" customWidth="1"/>
    <col min="11804" max="11804" width="13" style="15" customWidth="1"/>
    <col min="11805" max="11812" width="8.7109375" style="15" customWidth="1"/>
    <col min="11813" max="11813" width="11.28515625" style="15" customWidth="1"/>
    <col min="11814" max="11814" width="8.7109375" style="15" customWidth="1"/>
    <col min="11815" max="12056" width="9.140625" style="15"/>
    <col min="12057" max="12057" width="5.28515625" style="15" customWidth="1"/>
    <col min="12058" max="12058" width="7.140625" style="15" customWidth="1"/>
    <col min="12059" max="12059" width="37.85546875" style="15" customWidth="1"/>
    <col min="12060" max="12060" width="13" style="15" customWidth="1"/>
    <col min="12061" max="12068" width="8.7109375" style="15" customWidth="1"/>
    <col min="12069" max="12069" width="11.28515625" style="15" customWidth="1"/>
    <col min="12070" max="12070" width="8.7109375" style="15" customWidth="1"/>
    <col min="12071" max="12312" width="9.140625" style="15"/>
    <col min="12313" max="12313" width="5.28515625" style="15" customWidth="1"/>
    <col min="12314" max="12314" width="7.140625" style="15" customWidth="1"/>
    <col min="12315" max="12315" width="37.85546875" style="15" customWidth="1"/>
    <col min="12316" max="12316" width="13" style="15" customWidth="1"/>
    <col min="12317" max="12324" width="8.7109375" style="15" customWidth="1"/>
    <col min="12325" max="12325" width="11.28515625" style="15" customWidth="1"/>
    <col min="12326" max="12326" width="8.7109375" style="15" customWidth="1"/>
    <col min="12327" max="12568" width="9.140625" style="15"/>
    <col min="12569" max="12569" width="5.28515625" style="15" customWidth="1"/>
    <col min="12570" max="12570" width="7.140625" style="15" customWidth="1"/>
    <col min="12571" max="12571" width="37.85546875" style="15" customWidth="1"/>
    <col min="12572" max="12572" width="13" style="15" customWidth="1"/>
    <col min="12573" max="12580" width="8.7109375" style="15" customWidth="1"/>
    <col min="12581" max="12581" width="11.28515625" style="15" customWidth="1"/>
    <col min="12582" max="12582" width="8.7109375" style="15" customWidth="1"/>
    <col min="12583" max="12824" width="9.140625" style="15"/>
    <col min="12825" max="12825" width="5.28515625" style="15" customWidth="1"/>
    <col min="12826" max="12826" width="7.140625" style="15" customWidth="1"/>
    <col min="12827" max="12827" width="37.85546875" style="15" customWidth="1"/>
    <col min="12828" max="12828" width="13" style="15" customWidth="1"/>
    <col min="12829" max="12836" width="8.7109375" style="15" customWidth="1"/>
    <col min="12837" max="12837" width="11.28515625" style="15" customWidth="1"/>
    <col min="12838" max="12838" width="8.7109375" style="15" customWidth="1"/>
    <col min="12839" max="13080" width="9.140625" style="15"/>
    <col min="13081" max="13081" width="5.28515625" style="15" customWidth="1"/>
    <col min="13082" max="13082" width="7.140625" style="15" customWidth="1"/>
    <col min="13083" max="13083" width="37.85546875" style="15" customWidth="1"/>
    <col min="13084" max="13084" width="13" style="15" customWidth="1"/>
    <col min="13085" max="13092" width="8.7109375" style="15" customWidth="1"/>
    <col min="13093" max="13093" width="11.28515625" style="15" customWidth="1"/>
    <col min="13094" max="13094" width="8.7109375" style="15" customWidth="1"/>
    <col min="13095" max="13336" width="9.140625" style="15"/>
    <col min="13337" max="13337" width="5.28515625" style="15" customWidth="1"/>
    <col min="13338" max="13338" width="7.140625" style="15" customWidth="1"/>
    <col min="13339" max="13339" width="37.85546875" style="15" customWidth="1"/>
    <col min="13340" max="13340" width="13" style="15" customWidth="1"/>
    <col min="13341" max="13348" width="8.7109375" style="15" customWidth="1"/>
    <col min="13349" max="13349" width="11.28515625" style="15" customWidth="1"/>
    <col min="13350" max="13350" width="8.7109375" style="15" customWidth="1"/>
    <col min="13351" max="13592" width="9.140625" style="15"/>
    <col min="13593" max="13593" width="5.28515625" style="15" customWidth="1"/>
    <col min="13594" max="13594" width="7.140625" style="15" customWidth="1"/>
    <col min="13595" max="13595" width="37.85546875" style="15" customWidth="1"/>
    <col min="13596" max="13596" width="13" style="15" customWidth="1"/>
    <col min="13597" max="13604" width="8.7109375" style="15" customWidth="1"/>
    <col min="13605" max="13605" width="11.28515625" style="15" customWidth="1"/>
    <col min="13606" max="13606" width="8.7109375" style="15" customWidth="1"/>
    <col min="13607" max="13848" width="9.140625" style="15"/>
    <col min="13849" max="13849" width="5.28515625" style="15" customWidth="1"/>
    <col min="13850" max="13850" width="7.140625" style="15" customWidth="1"/>
    <col min="13851" max="13851" width="37.85546875" style="15" customWidth="1"/>
    <col min="13852" max="13852" width="13" style="15" customWidth="1"/>
    <col min="13853" max="13860" width="8.7109375" style="15" customWidth="1"/>
    <col min="13861" max="13861" width="11.28515625" style="15" customWidth="1"/>
    <col min="13862" max="13862" width="8.7109375" style="15" customWidth="1"/>
    <col min="13863" max="14104" width="9.140625" style="15"/>
    <col min="14105" max="14105" width="5.28515625" style="15" customWidth="1"/>
    <col min="14106" max="14106" width="7.140625" style="15" customWidth="1"/>
    <col min="14107" max="14107" width="37.85546875" style="15" customWidth="1"/>
    <col min="14108" max="14108" width="13" style="15" customWidth="1"/>
    <col min="14109" max="14116" width="8.7109375" style="15" customWidth="1"/>
    <col min="14117" max="14117" width="11.28515625" style="15" customWidth="1"/>
    <col min="14118" max="14118" width="8.7109375" style="15" customWidth="1"/>
    <col min="14119" max="14360" width="9.140625" style="15"/>
    <col min="14361" max="14361" width="5.28515625" style="15" customWidth="1"/>
    <col min="14362" max="14362" width="7.140625" style="15" customWidth="1"/>
    <col min="14363" max="14363" width="37.85546875" style="15" customWidth="1"/>
    <col min="14364" max="14364" width="13" style="15" customWidth="1"/>
    <col min="14365" max="14372" width="8.7109375" style="15" customWidth="1"/>
    <col min="14373" max="14373" width="11.28515625" style="15" customWidth="1"/>
    <col min="14374" max="14374" width="8.7109375" style="15" customWidth="1"/>
    <col min="14375" max="14616" width="9.140625" style="15"/>
    <col min="14617" max="14617" width="5.28515625" style="15" customWidth="1"/>
    <col min="14618" max="14618" width="7.140625" style="15" customWidth="1"/>
    <col min="14619" max="14619" width="37.85546875" style="15" customWidth="1"/>
    <col min="14620" max="14620" width="13" style="15" customWidth="1"/>
    <col min="14621" max="14628" width="8.7109375" style="15" customWidth="1"/>
    <col min="14629" max="14629" width="11.28515625" style="15" customWidth="1"/>
    <col min="14630" max="14630" width="8.7109375" style="15" customWidth="1"/>
    <col min="14631" max="14872" width="9.140625" style="15"/>
    <col min="14873" max="14873" width="5.28515625" style="15" customWidth="1"/>
    <col min="14874" max="14874" width="7.140625" style="15" customWidth="1"/>
    <col min="14875" max="14875" width="37.85546875" style="15" customWidth="1"/>
    <col min="14876" max="14876" width="13" style="15" customWidth="1"/>
    <col min="14877" max="14884" width="8.7109375" style="15" customWidth="1"/>
    <col min="14885" max="14885" width="11.28515625" style="15" customWidth="1"/>
    <col min="14886" max="14886" width="8.7109375" style="15" customWidth="1"/>
    <col min="14887" max="15128" width="9.140625" style="15"/>
    <col min="15129" max="15129" width="5.28515625" style="15" customWidth="1"/>
    <col min="15130" max="15130" width="7.140625" style="15" customWidth="1"/>
    <col min="15131" max="15131" width="37.85546875" style="15" customWidth="1"/>
    <col min="15132" max="15132" width="13" style="15" customWidth="1"/>
    <col min="15133" max="15140" width="8.7109375" style="15" customWidth="1"/>
    <col min="15141" max="15141" width="11.28515625" style="15" customWidth="1"/>
    <col min="15142" max="15142" width="8.7109375" style="15" customWidth="1"/>
    <col min="15143" max="15384" width="9.140625" style="15"/>
    <col min="15385" max="15385" width="5.28515625" style="15" customWidth="1"/>
    <col min="15386" max="15386" width="7.140625" style="15" customWidth="1"/>
    <col min="15387" max="15387" width="37.85546875" style="15" customWidth="1"/>
    <col min="15388" max="15388" width="13" style="15" customWidth="1"/>
    <col min="15389" max="15396" width="8.7109375" style="15" customWidth="1"/>
    <col min="15397" max="15397" width="11.28515625" style="15" customWidth="1"/>
    <col min="15398" max="15398" width="8.7109375" style="15" customWidth="1"/>
    <col min="15399" max="15640" width="9.140625" style="15"/>
    <col min="15641" max="15641" width="5.28515625" style="15" customWidth="1"/>
    <col min="15642" max="15642" width="7.140625" style="15" customWidth="1"/>
    <col min="15643" max="15643" width="37.85546875" style="15" customWidth="1"/>
    <col min="15644" max="15644" width="13" style="15" customWidth="1"/>
    <col min="15645" max="15652" width="8.7109375" style="15" customWidth="1"/>
    <col min="15653" max="15653" width="11.28515625" style="15" customWidth="1"/>
    <col min="15654" max="15654" width="8.7109375" style="15" customWidth="1"/>
    <col min="15655" max="15896" width="9.140625" style="15"/>
    <col min="15897" max="15897" width="5.28515625" style="15" customWidth="1"/>
    <col min="15898" max="15898" width="7.140625" style="15" customWidth="1"/>
    <col min="15899" max="15899" width="37.85546875" style="15" customWidth="1"/>
    <col min="15900" max="15900" width="13" style="15" customWidth="1"/>
    <col min="15901" max="15908" width="8.7109375" style="15" customWidth="1"/>
    <col min="15909" max="15909" width="11.28515625" style="15" customWidth="1"/>
    <col min="15910" max="15910" width="8.7109375" style="15" customWidth="1"/>
    <col min="15911" max="16152" width="9.140625" style="15"/>
    <col min="16153" max="16153" width="5.28515625" style="15" customWidth="1"/>
    <col min="16154" max="16154" width="7.140625" style="15" customWidth="1"/>
    <col min="16155" max="16155" width="37.85546875" style="15" customWidth="1"/>
    <col min="16156" max="16156" width="13" style="15" customWidth="1"/>
    <col min="16157" max="16164" width="8.7109375" style="15" customWidth="1"/>
    <col min="16165" max="16165" width="11.28515625" style="15" customWidth="1"/>
    <col min="16166" max="16166" width="8.7109375" style="15" customWidth="1"/>
    <col min="16167" max="16384" width="9.140625" style="15"/>
  </cols>
  <sheetData>
    <row r="1" spans="1:41" ht="15" x14ac:dyDescent="0.25">
      <c r="A1" s="319" t="s">
        <v>17</v>
      </c>
      <c r="B1" s="320"/>
      <c r="C1" s="320"/>
      <c r="D1" s="320"/>
      <c r="E1" s="320"/>
      <c r="F1" s="320"/>
      <c r="G1" s="320"/>
      <c r="H1" s="320"/>
      <c r="I1" s="320"/>
      <c r="J1" s="320"/>
      <c r="K1" s="320"/>
      <c r="L1" s="320"/>
      <c r="M1" s="320"/>
      <c r="N1" s="320"/>
      <c r="O1" s="320"/>
      <c r="P1" s="320"/>
      <c r="Q1" s="320"/>
      <c r="R1" s="320"/>
      <c r="S1" s="320"/>
      <c r="T1" s="320"/>
      <c r="U1" s="320"/>
      <c r="V1" s="320"/>
      <c r="W1" s="320"/>
      <c r="X1" s="320"/>
      <c r="Y1" s="320"/>
      <c r="Z1" s="320"/>
      <c r="AA1" s="320"/>
      <c r="AB1" s="320"/>
      <c r="AC1" s="320"/>
      <c r="AD1" s="320"/>
      <c r="AE1" s="320"/>
      <c r="AF1" s="320"/>
      <c r="AG1" s="320"/>
      <c r="AH1" s="320"/>
      <c r="AI1" s="320"/>
      <c r="AJ1" s="320"/>
      <c r="AK1" s="320"/>
      <c r="AL1" s="320"/>
      <c r="AM1" s="14"/>
      <c r="AN1" s="14"/>
      <c r="AO1" s="14"/>
    </row>
    <row r="2" spans="1:41" x14ac:dyDescent="0.25">
      <c r="A2" s="306" t="s">
        <v>18</v>
      </c>
      <c r="B2" s="306"/>
      <c r="C2" s="306"/>
      <c r="D2" s="318" t="s">
        <v>45</v>
      </c>
      <c r="E2" s="318"/>
      <c r="F2" s="318"/>
      <c r="G2" s="318"/>
      <c r="H2" s="318"/>
      <c r="I2" s="318"/>
      <c r="J2" s="318"/>
      <c r="K2" s="318"/>
      <c r="L2" s="318"/>
      <c r="M2" s="318"/>
      <c r="N2" s="318"/>
      <c r="O2" s="318"/>
      <c r="P2" s="318"/>
      <c r="Q2" s="318"/>
      <c r="R2" s="318"/>
      <c r="S2" s="318"/>
      <c r="T2" s="318"/>
      <c r="U2" s="318"/>
      <c r="V2" s="318"/>
      <c r="W2" s="318"/>
      <c r="X2" s="318"/>
      <c r="Y2" s="318"/>
      <c r="Z2" s="318"/>
      <c r="AA2" s="318"/>
      <c r="AB2" s="318"/>
      <c r="AC2" s="318"/>
      <c r="AD2" s="318"/>
      <c r="AE2" s="318"/>
      <c r="AF2" s="318"/>
      <c r="AG2" s="318"/>
      <c r="AH2" s="318"/>
      <c r="AI2" s="318"/>
      <c r="AJ2" s="318"/>
      <c r="AK2" s="318"/>
      <c r="AL2" s="318"/>
    </row>
    <row r="3" spans="1:41" x14ac:dyDescent="0.25">
      <c r="A3" s="306" t="s">
        <v>19</v>
      </c>
      <c r="B3" s="306"/>
      <c r="C3" s="306"/>
      <c r="D3" s="321" t="s">
        <v>46</v>
      </c>
      <c r="E3" s="321"/>
      <c r="F3" s="321"/>
      <c r="G3" s="321"/>
      <c r="H3" s="321"/>
      <c r="I3" s="321"/>
      <c r="J3" s="321"/>
      <c r="K3" s="321"/>
      <c r="L3" s="321"/>
      <c r="M3" s="321"/>
      <c r="N3" s="321"/>
      <c r="O3" s="321"/>
      <c r="P3" s="321"/>
      <c r="Q3" s="321"/>
      <c r="R3" s="321"/>
      <c r="S3" s="321"/>
      <c r="T3" s="321"/>
      <c r="U3" s="321"/>
      <c r="V3" s="321"/>
      <c r="W3" s="321"/>
      <c r="X3" s="321"/>
      <c r="Y3" s="321"/>
      <c r="Z3" s="321"/>
      <c r="AA3" s="321"/>
      <c r="AB3" s="321"/>
      <c r="AC3" s="321"/>
      <c r="AD3" s="321"/>
      <c r="AE3" s="321"/>
      <c r="AF3" s="321"/>
      <c r="AG3" s="321"/>
      <c r="AH3" s="321"/>
      <c r="AI3" s="321"/>
      <c r="AJ3" s="321"/>
      <c r="AK3" s="321"/>
      <c r="AL3" s="321"/>
    </row>
    <row r="4" spans="1:41" ht="15.6" customHeight="1" x14ac:dyDescent="0.25">
      <c r="A4" s="256" t="s">
        <v>39</v>
      </c>
      <c r="B4" s="31"/>
      <c r="C4" s="256"/>
      <c r="D4" s="318" t="s">
        <v>46</v>
      </c>
      <c r="E4" s="318"/>
      <c r="F4" s="318"/>
      <c r="G4" s="318"/>
      <c r="H4" s="318"/>
      <c r="I4" s="318"/>
      <c r="J4" s="318"/>
      <c r="K4" s="318"/>
      <c r="L4" s="318"/>
      <c r="M4" s="318"/>
      <c r="N4" s="318"/>
      <c r="O4" s="318"/>
      <c r="P4" s="318"/>
      <c r="Q4" s="318"/>
      <c r="R4" s="318"/>
      <c r="S4" s="318"/>
      <c r="T4" s="318"/>
      <c r="U4" s="318"/>
      <c r="V4" s="318"/>
      <c r="W4" s="318"/>
      <c r="X4" s="318"/>
      <c r="Y4" s="318"/>
      <c r="Z4" s="318"/>
      <c r="AA4" s="318"/>
      <c r="AB4" s="318"/>
      <c r="AC4" s="318"/>
      <c r="AD4" s="318"/>
      <c r="AE4" s="318"/>
      <c r="AF4" s="318"/>
      <c r="AG4" s="318"/>
      <c r="AH4" s="318"/>
      <c r="AI4" s="318"/>
      <c r="AJ4" s="318"/>
      <c r="AK4" s="318"/>
      <c r="AL4" s="318"/>
    </row>
    <row r="5" spans="1:41" ht="15" x14ac:dyDescent="0.25">
      <c r="A5" s="306" t="s">
        <v>40</v>
      </c>
      <c r="B5" s="306"/>
      <c r="C5" s="306"/>
      <c r="D5" s="307" t="s">
        <v>69</v>
      </c>
      <c r="E5" s="307"/>
      <c r="F5" s="307"/>
      <c r="G5" s="307"/>
      <c r="H5" s="307"/>
      <c r="I5" s="307"/>
      <c r="J5" s="307"/>
      <c r="K5" s="307"/>
      <c r="L5" s="307"/>
      <c r="M5" s="307"/>
      <c r="N5" s="307"/>
      <c r="O5" s="307"/>
      <c r="P5" s="307"/>
      <c r="Q5" s="307"/>
      <c r="R5" s="307"/>
      <c r="S5" s="307"/>
      <c r="T5" s="307"/>
      <c r="U5" s="307"/>
      <c r="V5" s="307"/>
      <c r="W5" s="307"/>
      <c r="X5" s="16"/>
      <c r="Y5" s="16"/>
      <c r="Z5" s="16"/>
      <c r="AA5" s="16"/>
      <c r="AB5" s="16"/>
      <c r="AC5" s="16"/>
      <c r="AD5" s="16"/>
      <c r="AE5" s="16"/>
      <c r="AF5" s="16"/>
      <c r="AG5" s="16"/>
      <c r="AH5" s="16"/>
      <c r="AI5" s="16"/>
      <c r="AJ5" s="16"/>
      <c r="AK5" s="16"/>
      <c r="AL5" s="16"/>
    </row>
    <row r="6" spans="1:41" x14ac:dyDescent="0.2">
      <c r="A6" s="15"/>
      <c r="W6" s="308"/>
      <c r="X6" s="308"/>
      <c r="Y6" s="308"/>
      <c r="Z6" s="308"/>
      <c r="AA6" s="308"/>
      <c r="AB6" s="308"/>
      <c r="AC6" s="308"/>
      <c r="AD6" s="308"/>
      <c r="AE6" s="308"/>
      <c r="AF6" s="308"/>
      <c r="AG6" s="308"/>
      <c r="AH6" s="308"/>
      <c r="AI6" s="308"/>
      <c r="AJ6" s="308"/>
      <c r="AK6" s="309"/>
      <c r="AL6" s="309"/>
    </row>
    <row r="7" spans="1:41" ht="15.75" customHeight="1" x14ac:dyDescent="0.2">
      <c r="A7" s="310"/>
      <c r="B7" s="310"/>
      <c r="C7" s="257"/>
      <c r="D7" s="17"/>
      <c r="E7" s="311" t="s">
        <v>47</v>
      </c>
      <c r="F7" s="311"/>
      <c r="G7" s="311"/>
      <c r="H7" s="311"/>
      <c r="I7" s="311"/>
      <c r="J7" s="311"/>
      <c r="K7" s="311"/>
      <c r="L7" s="311"/>
      <c r="M7" s="311"/>
      <c r="N7" s="311"/>
      <c r="O7" s="311"/>
      <c r="P7" s="311"/>
      <c r="Q7" s="312" t="s">
        <v>48</v>
      </c>
      <c r="R7" s="313"/>
      <c r="S7" s="313"/>
      <c r="T7" s="313"/>
      <c r="U7" s="313"/>
      <c r="V7" s="314"/>
      <c r="W7" s="315" t="s">
        <v>52</v>
      </c>
      <c r="X7" s="316"/>
      <c r="Y7" s="315" t="s">
        <v>52</v>
      </c>
      <c r="Z7" s="316"/>
      <c r="AA7" s="315" t="s">
        <v>53</v>
      </c>
      <c r="AB7" s="316"/>
      <c r="AC7" s="315" t="s">
        <v>54</v>
      </c>
      <c r="AD7" s="316"/>
      <c r="AE7" s="317"/>
      <c r="AF7" s="317"/>
      <c r="AG7" s="317"/>
      <c r="AH7" s="316"/>
      <c r="AI7" s="315" t="s">
        <v>55</v>
      </c>
      <c r="AJ7" s="316"/>
      <c r="AK7" s="18"/>
      <c r="AL7" s="18"/>
      <c r="AM7" s="17"/>
    </row>
    <row r="8" spans="1:41" ht="54" customHeight="1" x14ac:dyDescent="0.2">
      <c r="A8" s="295" t="s">
        <v>20</v>
      </c>
      <c r="B8" s="295"/>
      <c r="C8" s="19"/>
      <c r="D8" s="299" t="s">
        <v>21</v>
      </c>
      <c r="E8" s="300" t="str">
        <f>'[1]New co-financing 7 Mar'!$B$4</f>
        <v>Min of Agraria and Spatial Planning</v>
      </c>
      <c r="F8" s="301"/>
      <c r="G8" s="300" t="s">
        <v>213</v>
      </c>
      <c r="H8" s="301"/>
      <c r="I8" s="300" t="s">
        <v>214</v>
      </c>
      <c r="J8" s="301"/>
      <c r="K8" s="300" t="s">
        <v>215</v>
      </c>
      <c r="L8" s="302"/>
      <c r="M8" s="302"/>
      <c r="N8" s="301"/>
      <c r="O8" s="303" t="s">
        <v>216</v>
      </c>
      <c r="P8" s="304"/>
      <c r="Q8" s="296" t="str">
        <f>[2]WS!B8</f>
        <v>BAPEDDA Jambi Province</v>
      </c>
      <c r="R8" s="297"/>
      <c r="S8" s="296" t="str">
        <f>[2]WS!B9</f>
        <v>BAPEDDA Riau Province</v>
      </c>
      <c r="T8" s="297"/>
      <c r="U8" s="296" t="str">
        <f>[2]WS!B10</f>
        <v>BAPEDDA Sumatera Barat Province</v>
      </c>
      <c r="V8" s="297"/>
      <c r="W8" s="298" t="str">
        <f>[2]WS!B11</f>
        <v>WWF</v>
      </c>
      <c r="X8" s="298"/>
      <c r="Y8" s="292" t="s">
        <v>50</v>
      </c>
      <c r="Z8" s="292"/>
      <c r="AA8" s="305" t="s">
        <v>99</v>
      </c>
      <c r="AB8" s="305"/>
      <c r="AC8" s="292" t="s">
        <v>51</v>
      </c>
      <c r="AD8" s="292"/>
      <c r="AE8" s="300" t="s">
        <v>217</v>
      </c>
      <c r="AF8" s="301"/>
      <c r="AG8" s="300" t="s">
        <v>100</v>
      </c>
      <c r="AH8" s="301"/>
      <c r="AI8" s="292" t="s">
        <v>94</v>
      </c>
      <c r="AJ8" s="292"/>
      <c r="AK8" s="292" t="s">
        <v>10</v>
      </c>
      <c r="AL8" s="292"/>
      <c r="AM8" s="115" t="s">
        <v>208</v>
      </c>
    </row>
    <row r="9" spans="1:41" x14ac:dyDescent="0.2">
      <c r="A9" s="295" t="s">
        <v>22</v>
      </c>
      <c r="B9" s="295"/>
      <c r="C9" s="19"/>
      <c r="D9" s="299"/>
      <c r="E9" s="36" t="s">
        <v>23</v>
      </c>
      <c r="F9" s="21" t="s">
        <v>24</v>
      </c>
      <c r="G9" s="23" t="s">
        <v>23</v>
      </c>
      <c r="H9" s="21" t="s">
        <v>24</v>
      </c>
      <c r="I9" s="23" t="s">
        <v>23</v>
      </c>
      <c r="J9" s="21" t="s">
        <v>24</v>
      </c>
      <c r="K9" s="23" t="s">
        <v>218</v>
      </c>
      <c r="L9" s="21" t="s">
        <v>24</v>
      </c>
      <c r="M9" s="23" t="s">
        <v>219</v>
      </c>
      <c r="N9" s="21" t="s">
        <v>24</v>
      </c>
      <c r="O9" s="23" t="s">
        <v>23</v>
      </c>
      <c r="P9" s="21" t="s">
        <v>24</v>
      </c>
      <c r="Q9" s="23" t="s">
        <v>23</v>
      </c>
      <c r="R9" s="21" t="s">
        <v>24</v>
      </c>
      <c r="S9" s="23" t="s">
        <v>23</v>
      </c>
      <c r="T9" s="21" t="s">
        <v>24</v>
      </c>
      <c r="U9" s="23" t="s">
        <v>23</v>
      </c>
      <c r="V9" s="21" t="s">
        <v>24</v>
      </c>
      <c r="W9" s="23" t="s">
        <v>23</v>
      </c>
      <c r="X9" s="21" t="s">
        <v>24</v>
      </c>
      <c r="Y9" s="23" t="s">
        <v>23</v>
      </c>
      <c r="Z9" s="21" t="s">
        <v>24</v>
      </c>
      <c r="AA9" s="23" t="s">
        <v>23</v>
      </c>
      <c r="AB9" s="21" t="s">
        <v>24</v>
      </c>
      <c r="AC9" s="23" t="s">
        <v>23</v>
      </c>
      <c r="AD9" s="21" t="s">
        <v>24</v>
      </c>
      <c r="AE9" s="23" t="s">
        <v>23</v>
      </c>
      <c r="AF9" s="21" t="s">
        <v>24</v>
      </c>
      <c r="AG9" s="23" t="s">
        <v>23</v>
      </c>
      <c r="AH9" s="21" t="s">
        <v>24</v>
      </c>
      <c r="AI9" s="23" t="s">
        <v>23</v>
      </c>
      <c r="AJ9" s="21" t="s">
        <v>24</v>
      </c>
      <c r="AK9" s="23" t="s">
        <v>23</v>
      </c>
      <c r="AL9" s="21" t="s">
        <v>24</v>
      </c>
      <c r="AM9" s="17"/>
    </row>
    <row r="10" spans="1:41" x14ac:dyDescent="0.2">
      <c r="A10" s="293" t="s">
        <v>3</v>
      </c>
      <c r="B10" s="293"/>
      <c r="C10" s="293"/>
      <c r="D10" s="20" t="s">
        <v>25</v>
      </c>
      <c r="E10" s="20" t="s">
        <v>26</v>
      </c>
      <c r="F10" s="22" t="s">
        <v>27</v>
      </c>
      <c r="G10" s="20" t="s">
        <v>28</v>
      </c>
      <c r="H10" s="22" t="s">
        <v>29</v>
      </c>
      <c r="I10" s="20" t="s">
        <v>28</v>
      </c>
      <c r="J10" s="22" t="s">
        <v>29</v>
      </c>
      <c r="K10" s="20" t="s">
        <v>30</v>
      </c>
      <c r="L10" s="22" t="s">
        <v>31</v>
      </c>
      <c r="M10" s="20" t="s">
        <v>32</v>
      </c>
      <c r="N10" s="22" t="s">
        <v>56</v>
      </c>
      <c r="O10" s="20" t="s">
        <v>32</v>
      </c>
      <c r="P10" s="22" t="s">
        <v>56</v>
      </c>
      <c r="Q10" s="20" t="s">
        <v>33</v>
      </c>
      <c r="R10" s="22" t="s">
        <v>34</v>
      </c>
      <c r="S10" s="20" t="s">
        <v>35</v>
      </c>
      <c r="T10" s="22" t="s">
        <v>36</v>
      </c>
      <c r="U10" s="20" t="s">
        <v>37</v>
      </c>
      <c r="V10" s="22" t="s">
        <v>38</v>
      </c>
      <c r="W10" s="20" t="s">
        <v>57</v>
      </c>
      <c r="X10" s="22" t="s">
        <v>58</v>
      </c>
      <c r="Y10" s="20" t="s">
        <v>59</v>
      </c>
      <c r="Z10" s="22" t="s">
        <v>60</v>
      </c>
      <c r="AA10" s="20" t="s">
        <v>61</v>
      </c>
      <c r="AB10" s="22" t="s">
        <v>62</v>
      </c>
      <c r="AC10" s="20" t="s">
        <v>63</v>
      </c>
      <c r="AD10" s="22" t="s">
        <v>64</v>
      </c>
      <c r="AE10" s="20" t="s">
        <v>65</v>
      </c>
      <c r="AF10" s="22" t="s">
        <v>66</v>
      </c>
      <c r="AG10" s="20" t="s">
        <v>97</v>
      </c>
      <c r="AH10" s="22" t="s">
        <v>102</v>
      </c>
      <c r="AI10" s="20" t="s">
        <v>98</v>
      </c>
      <c r="AJ10" s="22" t="s">
        <v>101</v>
      </c>
      <c r="AK10" s="22" t="s">
        <v>67</v>
      </c>
      <c r="AL10" s="22" t="s">
        <v>68</v>
      </c>
      <c r="AM10" s="17"/>
    </row>
    <row r="11" spans="1:41" s="2" customFormat="1" ht="15" x14ac:dyDescent="0.25">
      <c r="A11" s="254">
        <v>10</v>
      </c>
      <c r="B11" s="294" t="s">
        <v>9</v>
      </c>
      <c r="C11" s="294"/>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17"/>
    </row>
    <row r="12" spans="1:41" s="2" customFormat="1" ht="15" x14ac:dyDescent="0.25">
      <c r="A12" s="254"/>
      <c r="B12" s="254">
        <v>1100</v>
      </c>
      <c r="C12" s="224" t="s">
        <v>185</v>
      </c>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17"/>
    </row>
    <row r="13" spans="1:41" s="2" customFormat="1" ht="15" x14ac:dyDescent="0.25">
      <c r="A13" s="254"/>
      <c r="B13" s="254">
        <f>B12+1</f>
        <v>1101</v>
      </c>
      <c r="C13" s="269" t="s">
        <v>204</v>
      </c>
      <c r="D13" s="174">
        <v>176326</v>
      </c>
      <c r="E13" s="8"/>
      <c r="F13" s="8"/>
      <c r="G13" s="8"/>
      <c r="H13" s="8"/>
      <c r="I13" s="8"/>
      <c r="J13" s="8"/>
      <c r="K13" s="8"/>
      <c r="L13" s="8"/>
      <c r="M13" s="8"/>
      <c r="N13" s="8"/>
      <c r="O13" s="8"/>
      <c r="P13" s="8"/>
      <c r="Q13" s="8"/>
      <c r="R13" s="8"/>
      <c r="S13" s="8"/>
      <c r="T13" s="7"/>
      <c r="U13" s="8"/>
      <c r="V13" s="7"/>
      <c r="W13" s="8"/>
      <c r="X13" s="8"/>
      <c r="Y13" s="8"/>
      <c r="Z13" s="8"/>
      <c r="AA13" s="9">
        <v>176326</v>
      </c>
      <c r="AB13" s="9"/>
      <c r="AC13" s="8"/>
      <c r="AD13" s="8"/>
      <c r="AE13" s="8"/>
      <c r="AF13" s="8"/>
      <c r="AG13" s="8"/>
      <c r="AH13" s="8"/>
      <c r="AI13" s="8"/>
      <c r="AJ13" s="8"/>
      <c r="AK13" s="9">
        <f>SUM(E13+G13+I13+K13+M13+O13+Q13+S13+U13+W13+Y13+AA13+AC13+AE13+AG13+AI13)</f>
        <v>176326</v>
      </c>
      <c r="AL13" s="9">
        <f>SUM(F13+H13+J13+L13+N13+P13+R13+T13+V13+X13+Z13+AB13+AD13+AF13+AH13+AJ13)</f>
        <v>0</v>
      </c>
      <c r="AM13" s="258">
        <f>AK13+AL13</f>
        <v>176326</v>
      </c>
    </row>
    <row r="14" spans="1:41" s="2" customFormat="1" ht="15" x14ac:dyDescent="0.25">
      <c r="A14" s="254"/>
      <c r="B14" s="254">
        <f t="shared" ref="B14:B19" si="0">B13+1</f>
        <v>1102</v>
      </c>
      <c r="C14" s="270" t="s">
        <v>212</v>
      </c>
      <c r="D14" s="167">
        <v>286909</v>
      </c>
      <c r="E14" s="24"/>
      <c r="F14" s="24"/>
      <c r="G14" s="24"/>
      <c r="H14" s="24"/>
      <c r="I14" s="24"/>
      <c r="J14" s="24"/>
      <c r="K14" s="24"/>
      <c r="L14" s="24"/>
      <c r="M14" s="24"/>
      <c r="N14" s="24"/>
      <c r="O14" s="24"/>
      <c r="P14" s="24"/>
      <c r="Q14" s="25"/>
      <c r="R14" s="24"/>
      <c r="S14" s="24"/>
      <c r="T14" s="26"/>
      <c r="U14" s="24"/>
      <c r="V14" s="26"/>
      <c r="W14" s="24"/>
      <c r="X14" s="24"/>
      <c r="Y14" s="24"/>
      <c r="Z14" s="24"/>
      <c r="AA14" s="24"/>
      <c r="AB14" s="24"/>
      <c r="AC14" s="24"/>
      <c r="AD14" s="24"/>
      <c r="AE14" s="24"/>
      <c r="AF14" s="24"/>
      <c r="AG14" s="24"/>
      <c r="AH14" s="24"/>
      <c r="AI14" s="24"/>
      <c r="AJ14" s="24"/>
      <c r="AK14" s="9">
        <f t="shared" ref="AK14:AL19" si="1">SUM(E14+G14+I14+K14+M14+O14+Q14+S14+U14+W14+Y14+AA14+AC14+AE14+AG14+AI14)</f>
        <v>0</v>
      </c>
      <c r="AL14" s="9">
        <f t="shared" si="1"/>
        <v>0</v>
      </c>
      <c r="AM14" s="258">
        <f t="shared" ref="AM14:AM19" si="2">AK14+AL14</f>
        <v>0</v>
      </c>
    </row>
    <row r="15" spans="1:41" s="2" customFormat="1" ht="15" x14ac:dyDescent="0.25">
      <c r="A15" s="254"/>
      <c r="B15" s="254">
        <f t="shared" si="0"/>
        <v>1103</v>
      </c>
      <c r="C15" s="269" t="s">
        <v>113</v>
      </c>
      <c r="D15" s="167">
        <v>921468</v>
      </c>
      <c r="E15" s="24"/>
      <c r="F15" s="24"/>
      <c r="G15" s="24"/>
      <c r="H15" s="24"/>
      <c r="I15" s="24"/>
      <c r="J15" s="24"/>
      <c r="K15" s="24"/>
      <c r="L15" s="24"/>
      <c r="M15" s="24"/>
      <c r="N15" s="24"/>
      <c r="O15" s="24"/>
      <c r="P15" s="24"/>
      <c r="Q15" s="24"/>
      <c r="R15" s="24"/>
      <c r="S15" s="24"/>
      <c r="T15" s="26"/>
      <c r="U15" s="24"/>
      <c r="V15" s="26"/>
      <c r="W15" s="24"/>
      <c r="X15" s="24"/>
      <c r="Y15" s="24"/>
      <c r="Z15" s="24"/>
      <c r="AA15" s="24"/>
      <c r="AB15" s="24"/>
      <c r="AC15" s="24"/>
      <c r="AD15" s="24"/>
      <c r="AE15" s="24"/>
      <c r="AF15" s="24"/>
      <c r="AG15" s="24"/>
      <c r="AH15" s="24"/>
      <c r="AI15" s="24"/>
      <c r="AJ15" s="24"/>
      <c r="AK15" s="9">
        <f t="shared" si="1"/>
        <v>0</v>
      </c>
      <c r="AL15" s="9">
        <f t="shared" si="1"/>
        <v>0</v>
      </c>
      <c r="AM15" s="258">
        <f t="shared" si="2"/>
        <v>0</v>
      </c>
    </row>
    <row r="16" spans="1:41" s="2" customFormat="1" ht="15" x14ac:dyDescent="0.25">
      <c r="A16" s="254"/>
      <c r="B16" s="254">
        <f t="shared" si="0"/>
        <v>1104</v>
      </c>
      <c r="C16" s="270" t="s">
        <v>231</v>
      </c>
      <c r="D16" s="283">
        <v>0</v>
      </c>
      <c r="E16" s="24"/>
      <c r="F16" s="24"/>
      <c r="G16" s="24"/>
      <c r="H16" s="24"/>
      <c r="I16" s="24"/>
      <c r="J16" s="24"/>
      <c r="K16" s="24"/>
      <c r="L16" s="24"/>
      <c r="M16" s="24"/>
      <c r="N16" s="24"/>
      <c r="O16" s="24"/>
      <c r="P16" s="24"/>
      <c r="Q16" s="24"/>
      <c r="R16" s="24"/>
      <c r="S16" s="24"/>
      <c r="T16" s="26"/>
      <c r="U16" s="24"/>
      <c r="V16" s="26"/>
      <c r="W16" s="24"/>
      <c r="X16" s="24"/>
      <c r="Y16" s="24"/>
      <c r="Z16" s="24"/>
      <c r="AA16" s="24">
        <v>209260</v>
      </c>
      <c r="AB16" s="24"/>
      <c r="AC16" s="24"/>
      <c r="AD16" s="24"/>
      <c r="AE16" s="24"/>
      <c r="AF16" s="24"/>
      <c r="AG16" s="24"/>
      <c r="AH16" s="24"/>
      <c r="AI16" s="24">
        <v>107140.89273753602</v>
      </c>
      <c r="AJ16" s="24"/>
      <c r="AK16" s="9">
        <f t="shared" si="1"/>
        <v>316400.89273753599</v>
      </c>
      <c r="AL16" s="9">
        <f t="shared" si="1"/>
        <v>0</v>
      </c>
      <c r="AM16" s="258">
        <f t="shared" si="2"/>
        <v>316400.89273753599</v>
      </c>
    </row>
    <row r="17" spans="1:39" s="2" customFormat="1" ht="15" x14ac:dyDescent="0.25">
      <c r="A17" s="254"/>
      <c r="B17" s="254">
        <f t="shared" si="0"/>
        <v>1105</v>
      </c>
      <c r="C17" s="269" t="s">
        <v>104</v>
      </c>
      <c r="D17" s="283">
        <v>0</v>
      </c>
      <c r="E17" s="24"/>
      <c r="F17" s="24"/>
      <c r="G17" s="24"/>
      <c r="H17" s="24"/>
      <c r="I17" s="24"/>
      <c r="J17" s="24"/>
      <c r="K17" s="24"/>
      <c r="L17" s="24"/>
      <c r="M17" s="24"/>
      <c r="N17" s="24"/>
      <c r="O17" s="24"/>
      <c r="P17" s="24"/>
      <c r="Q17" s="24"/>
      <c r="R17" s="24"/>
      <c r="S17" s="24"/>
      <c r="T17" s="26"/>
      <c r="U17" s="24"/>
      <c r="V17" s="26"/>
      <c r="W17" s="24"/>
      <c r="X17" s="24"/>
      <c r="Y17" s="24"/>
      <c r="Z17" s="24"/>
      <c r="AA17" s="24">
        <v>125556</v>
      </c>
      <c r="AB17" s="24"/>
      <c r="AC17" s="24"/>
      <c r="AD17" s="24"/>
      <c r="AE17" s="24"/>
      <c r="AF17" s="24"/>
      <c r="AG17" s="24"/>
      <c r="AH17" s="24"/>
      <c r="AI17" s="24">
        <v>66963.061358139443</v>
      </c>
      <c r="AJ17" s="24"/>
      <c r="AK17" s="9">
        <f t="shared" si="1"/>
        <v>192519.06135813944</v>
      </c>
      <c r="AL17" s="9">
        <f t="shared" si="1"/>
        <v>0</v>
      </c>
      <c r="AM17" s="258">
        <f t="shared" si="2"/>
        <v>192519.06135813944</v>
      </c>
    </row>
    <row r="18" spans="1:39" s="2" customFormat="1" ht="15" x14ac:dyDescent="0.25">
      <c r="A18" s="254"/>
      <c r="B18" s="254">
        <f t="shared" si="0"/>
        <v>1106</v>
      </c>
      <c r="C18" s="269" t="s">
        <v>205</v>
      </c>
      <c r="D18" s="167">
        <v>452789</v>
      </c>
      <c r="E18" s="24"/>
      <c r="F18" s="24"/>
      <c r="G18" s="24"/>
      <c r="H18" s="24"/>
      <c r="I18" s="24"/>
      <c r="J18" s="24"/>
      <c r="K18" s="24"/>
      <c r="L18" s="24"/>
      <c r="M18" s="24"/>
      <c r="N18" s="24"/>
      <c r="O18" s="24"/>
      <c r="P18" s="24"/>
      <c r="Q18" s="24"/>
      <c r="R18" s="24"/>
      <c r="S18" s="24"/>
      <c r="T18" s="26"/>
      <c r="U18" s="24"/>
      <c r="V18" s="26"/>
      <c r="W18" s="24"/>
      <c r="X18" s="24"/>
      <c r="Y18" s="24"/>
      <c r="Z18" s="24"/>
      <c r="AA18" s="24"/>
      <c r="AB18" s="24"/>
      <c r="AC18" s="24"/>
      <c r="AD18" s="24"/>
      <c r="AE18" s="24"/>
      <c r="AF18" s="24"/>
      <c r="AG18" s="24"/>
      <c r="AH18" s="24"/>
      <c r="AI18" s="24"/>
      <c r="AJ18" s="24"/>
      <c r="AK18" s="9">
        <f t="shared" si="1"/>
        <v>0</v>
      </c>
      <c r="AL18" s="9">
        <f t="shared" si="1"/>
        <v>0</v>
      </c>
      <c r="AM18" s="258">
        <f t="shared" si="2"/>
        <v>0</v>
      </c>
    </row>
    <row r="19" spans="1:39" s="2" customFormat="1" ht="15" x14ac:dyDescent="0.25">
      <c r="A19" s="254"/>
      <c r="B19" s="254">
        <f t="shared" si="0"/>
        <v>1107</v>
      </c>
      <c r="C19" s="269" t="s">
        <v>206</v>
      </c>
      <c r="D19" s="167">
        <v>0</v>
      </c>
      <c r="E19" s="24"/>
      <c r="F19" s="24"/>
      <c r="G19" s="24"/>
      <c r="H19" s="24"/>
      <c r="I19" s="24"/>
      <c r="J19" s="24"/>
      <c r="K19" s="24"/>
      <c r="L19" s="24"/>
      <c r="M19" s="24"/>
      <c r="N19" s="24"/>
      <c r="O19" s="24"/>
      <c r="P19" s="24"/>
      <c r="Q19" s="24"/>
      <c r="R19" s="24"/>
      <c r="S19" s="24"/>
      <c r="T19" s="26"/>
      <c r="U19" s="24"/>
      <c r="V19" s="26"/>
      <c r="W19" s="24"/>
      <c r="X19" s="24"/>
      <c r="Y19" s="24"/>
      <c r="Z19" s="24"/>
      <c r="AA19" s="24">
        <v>133715</v>
      </c>
      <c r="AB19" s="24"/>
      <c r="AC19" s="24"/>
      <c r="AD19" s="24"/>
      <c r="AE19" s="24"/>
      <c r="AF19" s="24"/>
      <c r="AG19" s="24"/>
      <c r="AH19" s="24"/>
      <c r="AI19" s="24"/>
      <c r="AJ19" s="24"/>
      <c r="AK19" s="9">
        <f t="shared" si="1"/>
        <v>133715</v>
      </c>
      <c r="AL19" s="9">
        <f t="shared" si="1"/>
        <v>0</v>
      </c>
      <c r="AM19" s="258">
        <f t="shared" si="2"/>
        <v>133715</v>
      </c>
    </row>
    <row r="20" spans="1:39" s="2" customFormat="1" ht="15" x14ac:dyDescent="0.25">
      <c r="A20" s="254"/>
      <c r="B20" s="254"/>
      <c r="C20" s="137"/>
      <c r="D20" s="167"/>
      <c r="E20" s="24"/>
      <c r="F20" s="24"/>
      <c r="G20" s="24"/>
      <c r="H20" s="24"/>
      <c r="I20" s="24"/>
      <c r="J20" s="24"/>
      <c r="K20" s="24"/>
      <c r="L20" s="24"/>
      <c r="M20" s="24"/>
      <c r="N20" s="24"/>
      <c r="O20" s="24"/>
      <c r="P20" s="24"/>
      <c r="Q20" s="24"/>
      <c r="R20" s="24"/>
      <c r="S20" s="24"/>
      <c r="T20" s="26"/>
      <c r="U20" s="24"/>
      <c r="V20" s="26"/>
      <c r="W20" s="24"/>
      <c r="X20" s="24"/>
      <c r="Y20" s="24"/>
      <c r="Z20" s="24"/>
      <c r="AA20" s="24"/>
      <c r="AB20" s="24"/>
      <c r="AC20" s="24"/>
      <c r="AD20" s="24"/>
      <c r="AE20" s="24"/>
      <c r="AF20" s="24"/>
      <c r="AG20" s="24"/>
      <c r="AH20" s="24"/>
      <c r="AI20" s="24"/>
      <c r="AJ20" s="24"/>
      <c r="AK20" s="24"/>
      <c r="AL20" s="24"/>
      <c r="AM20" s="17"/>
    </row>
    <row r="21" spans="1:39" s="2" customFormat="1" ht="15" x14ac:dyDescent="0.25">
      <c r="A21" s="254"/>
      <c r="B21" s="11">
        <v>1199</v>
      </c>
      <c r="C21" s="11" t="s">
        <v>10</v>
      </c>
      <c r="D21" s="228">
        <f>SUM(D13:D20)</f>
        <v>1837492</v>
      </c>
      <c r="E21" s="228">
        <f>SUM(E13:E19)</f>
        <v>0</v>
      </c>
      <c r="F21" s="228">
        <f t="shared" ref="F21:AM21" si="3">SUM(F13:F19)</f>
        <v>0</v>
      </c>
      <c r="G21" s="228">
        <f t="shared" si="3"/>
        <v>0</v>
      </c>
      <c r="H21" s="228">
        <f t="shared" si="3"/>
        <v>0</v>
      </c>
      <c r="I21" s="228">
        <f t="shared" si="3"/>
        <v>0</v>
      </c>
      <c r="J21" s="228">
        <f t="shared" si="3"/>
        <v>0</v>
      </c>
      <c r="K21" s="228">
        <f t="shared" si="3"/>
        <v>0</v>
      </c>
      <c r="L21" s="228">
        <f t="shared" si="3"/>
        <v>0</v>
      </c>
      <c r="M21" s="228">
        <f t="shared" si="3"/>
        <v>0</v>
      </c>
      <c r="N21" s="228">
        <f t="shared" si="3"/>
        <v>0</v>
      </c>
      <c r="O21" s="228">
        <f t="shared" si="3"/>
        <v>0</v>
      </c>
      <c r="P21" s="228">
        <f t="shared" si="3"/>
        <v>0</v>
      </c>
      <c r="Q21" s="228">
        <f t="shared" si="3"/>
        <v>0</v>
      </c>
      <c r="R21" s="228">
        <f t="shared" si="3"/>
        <v>0</v>
      </c>
      <c r="S21" s="228">
        <f t="shared" si="3"/>
        <v>0</v>
      </c>
      <c r="T21" s="228">
        <f t="shared" si="3"/>
        <v>0</v>
      </c>
      <c r="U21" s="228">
        <f t="shared" si="3"/>
        <v>0</v>
      </c>
      <c r="V21" s="228">
        <f t="shared" si="3"/>
        <v>0</v>
      </c>
      <c r="W21" s="228">
        <f t="shared" si="3"/>
        <v>0</v>
      </c>
      <c r="X21" s="228">
        <f t="shared" si="3"/>
        <v>0</v>
      </c>
      <c r="Y21" s="228">
        <f t="shared" si="3"/>
        <v>0</v>
      </c>
      <c r="Z21" s="228">
        <f t="shared" si="3"/>
        <v>0</v>
      </c>
      <c r="AA21" s="228">
        <f t="shared" si="3"/>
        <v>644857</v>
      </c>
      <c r="AB21" s="228">
        <f t="shared" si="3"/>
        <v>0</v>
      </c>
      <c r="AC21" s="228">
        <f t="shared" si="3"/>
        <v>0</v>
      </c>
      <c r="AD21" s="228">
        <f t="shared" si="3"/>
        <v>0</v>
      </c>
      <c r="AE21" s="228">
        <f t="shared" si="3"/>
        <v>0</v>
      </c>
      <c r="AF21" s="228">
        <f t="shared" si="3"/>
        <v>0</v>
      </c>
      <c r="AG21" s="228">
        <f t="shared" si="3"/>
        <v>0</v>
      </c>
      <c r="AH21" s="228">
        <f t="shared" si="3"/>
        <v>0</v>
      </c>
      <c r="AI21" s="228">
        <f t="shared" si="3"/>
        <v>174103.95409567546</v>
      </c>
      <c r="AJ21" s="228">
        <f t="shared" si="3"/>
        <v>0</v>
      </c>
      <c r="AK21" s="228">
        <f t="shared" si="3"/>
        <v>818960.95409567538</v>
      </c>
      <c r="AL21" s="228">
        <f t="shared" si="3"/>
        <v>0</v>
      </c>
      <c r="AM21" s="228">
        <f t="shared" si="3"/>
        <v>818960.95409567538</v>
      </c>
    </row>
    <row r="22" spans="1:39" s="2" customFormat="1" ht="15" x14ac:dyDescent="0.25">
      <c r="A22" s="254"/>
      <c r="B22" s="254">
        <v>1200</v>
      </c>
      <c r="C22" s="224" t="s">
        <v>186</v>
      </c>
      <c r="D22" s="167"/>
      <c r="E22" s="24"/>
      <c r="F22" s="24"/>
      <c r="G22" s="24"/>
      <c r="H22" s="24"/>
      <c r="I22" s="24"/>
      <c r="J22" s="24"/>
      <c r="K22" s="24"/>
      <c r="L22" s="24"/>
      <c r="M22" s="24"/>
      <c r="N22" s="24"/>
      <c r="O22" s="24"/>
      <c r="P22" s="24"/>
      <c r="Q22" s="24"/>
      <c r="R22" s="24"/>
      <c r="S22" s="24"/>
      <c r="T22" s="26"/>
      <c r="U22" s="24"/>
      <c r="V22" s="26"/>
      <c r="W22" s="24"/>
      <c r="X22" s="24"/>
      <c r="Y22" s="24"/>
      <c r="Z22" s="24"/>
      <c r="AA22" s="24"/>
      <c r="AB22" s="24"/>
      <c r="AC22" s="24"/>
      <c r="AD22" s="24"/>
      <c r="AE22" s="24"/>
      <c r="AF22" s="24"/>
      <c r="AG22" s="24"/>
      <c r="AH22" s="24"/>
      <c r="AI22" s="24"/>
      <c r="AJ22" s="24"/>
      <c r="AK22" s="24"/>
      <c r="AL22" s="24"/>
      <c r="AM22" s="17"/>
    </row>
    <row r="23" spans="1:39" s="2" customFormat="1" ht="15" x14ac:dyDescent="0.25">
      <c r="A23" s="254"/>
      <c r="B23" s="254">
        <f>B22+1</f>
        <v>1201</v>
      </c>
      <c r="C23" s="254" t="s">
        <v>114</v>
      </c>
      <c r="D23" s="167">
        <v>130000</v>
      </c>
      <c r="E23" s="24"/>
      <c r="F23" s="24"/>
      <c r="G23" s="24"/>
      <c r="H23" s="24"/>
      <c r="I23" s="24"/>
      <c r="J23" s="24"/>
      <c r="K23" s="24"/>
      <c r="L23" s="24"/>
      <c r="M23" s="24"/>
      <c r="N23" s="24"/>
      <c r="O23" s="24"/>
      <c r="P23" s="24"/>
      <c r="Q23" s="24"/>
      <c r="R23" s="24"/>
      <c r="S23" s="24"/>
      <c r="T23" s="26"/>
      <c r="U23" s="24"/>
      <c r="V23" s="26"/>
      <c r="W23" s="24"/>
      <c r="X23" s="24"/>
      <c r="Y23" s="24"/>
      <c r="Z23" s="24"/>
      <c r="AA23" s="24"/>
      <c r="AB23" s="24"/>
      <c r="AC23" s="24"/>
      <c r="AD23" s="24"/>
      <c r="AE23" s="24"/>
      <c r="AF23" s="24"/>
      <c r="AG23" s="24"/>
      <c r="AH23" s="24"/>
      <c r="AI23" s="24"/>
      <c r="AJ23" s="24"/>
      <c r="AK23" s="9">
        <f t="shared" ref="AK23:AL32" si="4">SUM(E23+G23+I23+K23+M23+O23+Q23+S23+U23+W23+Y23+AA23+AC23+AE23+AG23+AI23)</f>
        <v>0</v>
      </c>
      <c r="AL23" s="9">
        <f t="shared" si="4"/>
        <v>0</v>
      </c>
      <c r="AM23" s="258">
        <f t="shared" ref="AM23:AM32" si="5">AK23+AL23</f>
        <v>0</v>
      </c>
    </row>
    <row r="24" spans="1:39" s="117" customFormat="1" ht="15" x14ac:dyDescent="0.25">
      <c r="A24" s="116"/>
      <c r="B24" s="116">
        <f t="shared" ref="B24:B32" si="6">B23+1</f>
        <v>1202</v>
      </c>
      <c r="C24" s="116" t="s">
        <v>115</v>
      </c>
      <c r="D24" s="221">
        <v>195000</v>
      </c>
      <c r="E24" s="25"/>
      <c r="F24" s="25"/>
      <c r="G24" s="25"/>
      <c r="H24" s="25"/>
      <c r="I24" s="25"/>
      <c r="J24" s="25"/>
      <c r="K24" s="25"/>
      <c r="L24" s="25"/>
      <c r="M24" s="25"/>
      <c r="N24" s="25"/>
      <c r="O24" s="25"/>
      <c r="P24" s="25"/>
      <c r="Q24" s="25"/>
      <c r="R24" s="25"/>
      <c r="S24" s="25"/>
      <c r="T24" s="25"/>
      <c r="U24" s="25"/>
      <c r="V24" s="25"/>
      <c r="W24" s="25"/>
      <c r="X24" s="25"/>
      <c r="Y24" s="25"/>
      <c r="Z24" s="25"/>
      <c r="AA24" s="25"/>
      <c r="AB24" s="25"/>
      <c r="AC24" s="25"/>
      <c r="AD24" s="25"/>
      <c r="AE24" s="25"/>
      <c r="AF24" s="25"/>
      <c r="AG24" s="25"/>
      <c r="AH24" s="25"/>
      <c r="AI24" s="25"/>
      <c r="AJ24" s="25"/>
      <c r="AK24" s="9">
        <f t="shared" si="4"/>
        <v>0</v>
      </c>
      <c r="AL24" s="9">
        <f t="shared" si="4"/>
        <v>0</v>
      </c>
      <c r="AM24" s="258">
        <f t="shared" si="5"/>
        <v>0</v>
      </c>
    </row>
    <row r="25" spans="1:39" s="2" customFormat="1" ht="15" x14ac:dyDescent="0.25">
      <c r="A25" s="254"/>
      <c r="B25" s="254">
        <f t="shared" si="6"/>
        <v>1203</v>
      </c>
      <c r="C25" s="254" t="s">
        <v>111</v>
      </c>
      <c r="D25" s="174">
        <v>360000</v>
      </c>
      <c r="E25" s="27"/>
      <c r="F25" s="27"/>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9">
        <f t="shared" si="4"/>
        <v>0</v>
      </c>
      <c r="AL25" s="9">
        <f t="shared" si="4"/>
        <v>0</v>
      </c>
      <c r="AM25" s="258">
        <f t="shared" si="5"/>
        <v>0</v>
      </c>
    </row>
    <row r="26" spans="1:39" s="2" customFormat="1" ht="15" x14ac:dyDescent="0.25">
      <c r="A26" s="254"/>
      <c r="B26" s="254">
        <f t="shared" si="6"/>
        <v>1204</v>
      </c>
      <c r="C26" s="254" t="s">
        <v>112</v>
      </c>
      <c r="D26" s="167">
        <v>60000</v>
      </c>
      <c r="E26" s="27"/>
      <c r="F26" s="24"/>
      <c r="G26" s="24"/>
      <c r="H26" s="24"/>
      <c r="I26" s="24"/>
      <c r="J26" s="24"/>
      <c r="K26" s="24"/>
      <c r="L26" s="24"/>
      <c r="M26" s="24"/>
      <c r="N26" s="24"/>
      <c r="O26" s="24"/>
      <c r="P26" s="24"/>
      <c r="Q26" s="24"/>
      <c r="R26" s="24"/>
      <c r="S26" s="24"/>
      <c r="T26" s="24"/>
      <c r="U26" s="24"/>
      <c r="V26" s="24"/>
      <c r="W26" s="24"/>
      <c r="X26" s="24"/>
      <c r="Y26" s="27"/>
      <c r="Z26" s="27"/>
      <c r="AA26" s="27"/>
      <c r="AB26" s="27"/>
      <c r="AC26" s="27"/>
      <c r="AD26" s="27"/>
      <c r="AE26" s="27"/>
      <c r="AF26" s="27"/>
      <c r="AG26" s="27"/>
      <c r="AH26" s="27"/>
      <c r="AI26" s="27"/>
      <c r="AJ26" s="27"/>
      <c r="AK26" s="9">
        <f t="shared" si="4"/>
        <v>0</v>
      </c>
      <c r="AL26" s="9">
        <f t="shared" si="4"/>
        <v>0</v>
      </c>
      <c r="AM26" s="258">
        <f t="shared" si="5"/>
        <v>0</v>
      </c>
    </row>
    <row r="27" spans="1:39" s="2" customFormat="1" ht="15" x14ac:dyDescent="0.25">
      <c r="A27" s="254"/>
      <c r="B27" s="254">
        <f>B26+1</f>
        <v>1205</v>
      </c>
      <c r="C27" s="254" t="s">
        <v>117</v>
      </c>
      <c r="D27" s="167">
        <v>60000</v>
      </c>
      <c r="E27" s="24"/>
      <c r="F27" s="24"/>
      <c r="G27" s="24"/>
      <c r="H27" s="24"/>
      <c r="I27" s="24"/>
      <c r="J27" s="24"/>
      <c r="K27" s="24"/>
      <c r="L27" s="24"/>
      <c r="M27" s="24"/>
      <c r="N27" s="24"/>
      <c r="O27" s="24"/>
      <c r="P27" s="24"/>
      <c r="Q27" s="24"/>
      <c r="R27" s="24"/>
      <c r="S27" s="24"/>
      <c r="T27" s="24"/>
      <c r="U27" s="24"/>
      <c r="V27" s="24"/>
      <c r="W27" s="24"/>
      <c r="X27" s="24"/>
      <c r="Y27" s="27"/>
      <c r="Z27" s="27"/>
      <c r="AA27" s="28"/>
      <c r="AB27" s="28"/>
      <c r="AC27" s="27"/>
      <c r="AD27" s="27"/>
      <c r="AE27" s="27"/>
      <c r="AF27" s="27"/>
      <c r="AG27" s="27"/>
      <c r="AH27" s="27"/>
      <c r="AI27" s="27"/>
      <c r="AJ27" s="27"/>
      <c r="AK27" s="9">
        <f t="shared" si="4"/>
        <v>0</v>
      </c>
      <c r="AL27" s="9">
        <f t="shared" si="4"/>
        <v>0</v>
      </c>
      <c r="AM27" s="258">
        <f t="shared" si="5"/>
        <v>0</v>
      </c>
    </row>
    <row r="28" spans="1:39" s="2" customFormat="1" ht="15" x14ac:dyDescent="0.25">
      <c r="A28" s="254"/>
      <c r="B28" s="254">
        <f t="shared" si="6"/>
        <v>1206</v>
      </c>
      <c r="C28" s="254" t="s">
        <v>118</v>
      </c>
      <c r="D28" s="167">
        <v>75000</v>
      </c>
      <c r="E28" s="24"/>
      <c r="F28" s="24"/>
      <c r="G28" s="24"/>
      <c r="H28" s="24"/>
      <c r="I28" s="24"/>
      <c r="J28" s="24"/>
      <c r="K28" s="24"/>
      <c r="L28" s="24"/>
      <c r="M28" s="24"/>
      <c r="N28" s="24"/>
      <c r="O28" s="24"/>
      <c r="P28" s="24"/>
      <c r="Q28" s="24"/>
      <c r="R28" s="24"/>
      <c r="S28" s="24"/>
      <c r="T28" s="24"/>
      <c r="U28" s="24"/>
      <c r="V28" s="24"/>
      <c r="W28" s="24"/>
      <c r="X28" s="24"/>
      <c r="Y28" s="27"/>
      <c r="Z28" s="27"/>
      <c r="AA28" s="27"/>
      <c r="AB28" s="27"/>
      <c r="AC28" s="27"/>
      <c r="AD28" s="27"/>
      <c r="AE28" s="27"/>
      <c r="AF28" s="27"/>
      <c r="AG28" s="27"/>
      <c r="AH28" s="27"/>
      <c r="AI28" s="27"/>
      <c r="AJ28" s="27"/>
      <c r="AK28" s="9">
        <f t="shared" si="4"/>
        <v>0</v>
      </c>
      <c r="AL28" s="9">
        <f t="shared" si="4"/>
        <v>0</v>
      </c>
      <c r="AM28" s="258">
        <f t="shared" si="5"/>
        <v>0</v>
      </c>
    </row>
    <row r="29" spans="1:39" s="2" customFormat="1" ht="15" x14ac:dyDescent="0.25">
      <c r="A29" s="254"/>
      <c r="B29" s="254">
        <f t="shared" si="6"/>
        <v>1207</v>
      </c>
      <c r="C29" s="254" t="s">
        <v>203</v>
      </c>
      <c r="D29" s="167">
        <v>50000</v>
      </c>
      <c r="E29" s="24"/>
      <c r="F29" s="24"/>
      <c r="G29" s="24"/>
      <c r="H29" s="24"/>
      <c r="I29" s="24"/>
      <c r="J29" s="24"/>
      <c r="K29" s="24"/>
      <c r="L29" s="24"/>
      <c r="M29" s="24"/>
      <c r="N29" s="24"/>
      <c r="O29" s="24"/>
      <c r="P29" s="24"/>
      <c r="Q29" s="24"/>
      <c r="R29" s="24"/>
      <c r="S29" s="24"/>
      <c r="T29" s="24"/>
      <c r="U29" s="24"/>
      <c r="V29" s="24"/>
      <c r="W29" s="24"/>
      <c r="X29" s="24"/>
      <c r="Y29" s="27"/>
      <c r="Z29" s="27"/>
      <c r="AA29" s="27"/>
      <c r="AB29" s="27"/>
      <c r="AC29" s="27"/>
      <c r="AD29" s="27"/>
      <c r="AE29" s="27"/>
      <c r="AF29" s="27"/>
      <c r="AG29" s="27"/>
      <c r="AH29" s="27"/>
      <c r="AI29" s="27"/>
      <c r="AJ29" s="27"/>
      <c r="AK29" s="9">
        <f t="shared" si="4"/>
        <v>0</v>
      </c>
      <c r="AL29" s="9">
        <f t="shared" si="4"/>
        <v>0</v>
      </c>
      <c r="AM29" s="258">
        <f t="shared" si="5"/>
        <v>0</v>
      </c>
    </row>
    <row r="30" spans="1:39" s="2" customFormat="1" ht="15" x14ac:dyDescent="0.25">
      <c r="A30" s="254"/>
      <c r="B30" s="254">
        <f t="shared" si="6"/>
        <v>1208</v>
      </c>
      <c r="C30" s="254" t="s">
        <v>116</v>
      </c>
      <c r="D30" s="167">
        <v>60000</v>
      </c>
      <c r="E30" s="24"/>
      <c r="F30" s="24"/>
      <c r="G30" s="24"/>
      <c r="H30" s="24"/>
      <c r="I30" s="24"/>
      <c r="J30" s="24"/>
      <c r="K30" s="24"/>
      <c r="L30" s="24"/>
      <c r="M30" s="24"/>
      <c r="N30" s="24"/>
      <c r="O30" s="24"/>
      <c r="P30" s="24"/>
      <c r="Q30" s="24"/>
      <c r="R30" s="24"/>
      <c r="S30" s="24"/>
      <c r="T30" s="24"/>
      <c r="U30" s="24"/>
      <c r="V30" s="24"/>
      <c r="W30" s="24"/>
      <c r="X30" s="24"/>
      <c r="Y30" s="27"/>
      <c r="Z30" s="27"/>
      <c r="AA30" s="27"/>
      <c r="AB30" s="27"/>
      <c r="AC30" s="27"/>
      <c r="AD30" s="27"/>
      <c r="AE30" s="27"/>
      <c r="AF30" s="27"/>
      <c r="AG30" s="27"/>
      <c r="AH30" s="27"/>
      <c r="AI30" s="27"/>
      <c r="AJ30" s="27"/>
      <c r="AK30" s="9">
        <f t="shared" si="4"/>
        <v>0</v>
      </c>
      <c r="AL30" s="9">
        <f t="shared" si="4"/>
        <v>0</v>
      </c>
      <c r="AM30" s="258">
        <f t="shared" si="5"/>
        <v>0</v>
      </c>
    </row>
    <row r="31" spans="1:39" s="2" customFormat="1" ht="15" x14ac:dyDescent="0.25">
      <c r="A31" s="254"/>
      <c r="B31" s="254">
        <f t="shared" si="6"/>
        <v>1209</v>
      </c>
      <c r="C31" s="254" t="s">
        <v>202</v>
      </c>
      <c r="D31" s="167">
        <v>30000</v>
      </c>
      <c r="E31" s="24"/>
      <c r="F31" s="24"/>
      <c r="G31" s="24"/>
      <c r="H31" s="24"/>
      <c r="I31" s="24"/>
      <c r="J31" s="24"/>
      <c r="K31" s="24"/>
      <c r="L31" s="24"/>
      <c r="M31" s="24"/>
      <c r="N31" s="24"/>
      <c r="O31" s="24"/>
      <c r="P31" s="24"/>
      <c r="Q31" s="24"/>
      <c r="R31" s="24"/>
      <c r="S31" s="24"/>
      <c r="T31" s="24"/>
      <c r="U31" s="24"/>
      <c r="V31" s="24"/>
      <c r="W31" s="24"/>
      <c r="X31" s="24"/>
      <c r="Y31" s="27"/>
      <c r="Z31" s="27"/>
      <c r="AA31" s="27"/>
      <c r="AB31" s="27"/>
      <c r="AC31" s="27"/>
      <c r="AD31" s="27"/>
      <c r="AE31" s="27"/>
      <c r="AF31" s="27"/>
      <c r="AG31" s="27"/>
      <c r="AH31" s="27"/>
      <c r="AI31" s="27"/>
      <c r="AJ31" s="27"/>
      <c r="AK31" s="9">
        <f t="shared" si="4"/>
        <v>0</v>
      </c>
      <c r="AL31" s="9">
        <f t="shared" si="4"/>
        <v>0</v>
      </c>
      <c r="AM31" s="258">
        <f t="shared" si="5"/>
        <v>0</v>
      </c>
    </row>
    <row r="32" spans="1:39" s="2" customFormat="1" ht="15" x14ac:dyDescent="0.25">
      <c r="A32" s="254"/>
      <c r="B32" s="254">
        <f t="shared" si="6"/>
        <v>1210</v>
      </c>
      <c r="C32" s="254" t="s">
        <v>201</v>
      </c>
      <c r="D32" s="167">
        <v>40000</v>
      </c>
      <c r="E32" s="24"/>
      <c r="F32" s="24"/>
      <c r="G32" s="24"/>
      <c r="H32" s="24"/>
      <c r="I32" s="24"/>
      <c r="J32" s="24"/>
      <c r="K32" s="24"/>
      <c r="L32" s="24"/>
      <c r="M32" s="24"/>
      <c r="N32" s="24"/>
      <c r="O32" s="24"/>
      <c r="P32" s="24"/>
      <c r="Q32" s="24"/>
      <c r="R32" s="24"/>
      <c r="S32" s="24"/>
      <c r="T32" s="24"/>
      <c r="U32" s="24"/>
      <c r="V32" s="24"/>
      <c r="W32" s="24"/>
      <c r="X32" s="24"/>
      <c r="Y32" s="27"/>
      <c r="Z32" s="27"/>
      <c r="AA32" s="27"/>
      <c r="AB32" s="27"/>
      <c r="AC32" s="27"/>
      <c r="AD32" s="27"/>
      <c r="AE32" s="27"/>
      <c r="AF32" s="27"/>
      <c r="AG32" s="27"/>
      <c r="AH32" s="27"/>
      <c r="AI32" s="27"/>
      <c r="AJ32" s="27"/>
      <c r="AK32" s="9">
        <f t="shared" si="4"/>
        <v>0</v>
      </c>
      <c r="AL32" s="9">
        <f t="shared" si="4"/>
        <v>0</v>
      </c>
      <c r="AM32" s="258">
        <f t="shared" si="5"/>
        <v>0</v>
      </c>
    </row>
    <row r="33" spans="1:39" s="2" customFormat="1" ht="15" x14ac:dyDescent="0.25">
      <c r="A33" s="254"/>
      <c r="B33" s="254"/>
      <c r="C33" s="254"/>
      <c r="D33" s="167"/>
      <c r="E33" s="24"/>
      <c r="F33" s="24"/>
      <c r="G33" s="24"/>
      <c r="H33" s="24"/>
      <c r="I33" s="24"/>
      <c r="J33" s="24"/>
      <c r="K33" s="24"/>
      <c r="L33" s="24"/>
      <c r="M33" s="24"/>
      <c r="N33" s="24"/>
      <c r="O33" s="24"/>
      <c r="P33" s="24"/>
      <c r="Q33" s="24"/>
      <c r="R33" s="24"/>
      <c r="S33" s="24"/>
      <c r="T33" s="24"/>
      <c r="U33" s="24"/>
      <c r="V33" s="24"/>
      <c r="W33" s="24"/>
      <c r="X33" s="24"/>
      <c r="Y33" s="27"/>
      <c r="Z33" s="27"/>
      <c r="AA33" s="27"/>
      <c r="AB33" s="27"/>
      <c r="AC33" s="27"/>
      <c r="AD33" s="27"/>
      <c r="AE33" s="27"/>
      <c r="AF33" s="27"/>
      <c r="AG33" s="27"/>
      <c r="AH33" s="27"/>
      <c r="AI33" s="27"/>
      <c r="AJ33" s="27"/>
      <c r="AK33" s="24"/>
      <c r="AL33" s="24"/>
      <c r="AM33" s="17"/>
    </row>
    <row r="34" spans="1:39" s="2" customFormat="1" ht="15" x14ac:dyDescent="0.25">
      <c r="A34" s="254"/>
      <c r="B34" s="11">
        <v>1299</v>
      </c>
      <c r="C34" s="225" t="s">
        <v>10</v>
      </c>
      <c r="D34" s="228">
        <f>SUM(D23:D32)</f>
        <v>1060000</v>
      </c>
      <c r="E34" s="228">
        <f t="shared" ref="E34:AM34" si="7">SUM(E23:E32)</f>
        <v>0</v>
      </c>
      <c r="F34" s="228">
        <f t="shared" si="7"/>
        <v>0</v>
      </c>
      <c r="G34" s="228">
        <f t="shared" si="7"/>
        <v>0</v>
      </c>
      <c r="H34" s="228">
        <f t="shared" si="7"/>
        <v>0</v>
      </c>
      <c r="I34" s="228">
        <f t="shared" si="7"/>
        <v>0</v>
      </c>
      <c r="J34" s="228">
        <f t="shared" si="7"/>
        <v>0</v>
      </c>
      <c r="K34" s="228">
        <f t="shared" si="7"/>
        <v>0</v>
      </c>
      <c r="L34" s="228">
        <f t="shared" si="7"/>
        <v>0</v>
      </c>
      <c r="M34" s="228">
        <f t="shared" si="7"/>
        <v>0</v>
      </c>
      <c r="N34" s="228">
        <f t="shared" si="7"/>
        <v>0</v>
      </c>
      <c r="O34" s="228">
        <f t="shared" si="7"/>
        <v>0</v>
      </c>
      <c r="P34" s="228">
        <f t="shared" si="7"/>
        <v>0</v>
      </c>
      <c r="Q34" s="228">
        <f t="shared" si="7"/>
        <v>0</v>
      </c>
      <c r="R34" s="228">
        <f t="shared" si="7"/>
        <v>0</v>
      </c>
      <c r="S34" s="228">
        <f t="shared" si="7"/>
        <v>0</v>
      </c>
      <c r="T34" s="228">
        <f t="shared" si="7"/>
        <v>0</v>
      </c>
      <c r="U34" s="228">
        <f t="shared" si="7"/>
        <v>0</v>
      </c>
      <c r="V34" s="228">
        <f t="shared" si="7"/>
        <v>0</v>
      </c>
      <c r="W34" s="228">
        <f t="shared" si="7"/>
        <v>0</v>
      </c>
      <c r="X34" s="228">
        <f t="shared" si="7"/>
        <v>0</v>
      </c>
      <c r="Y34" s="228">
        <f t="shared" si="7"/>
        <v>0</v>
      </c>
      <c r="Z34" s="228">
        <f t="shared" si="7"/>
        <v>0</v>
      </c>
      <c r="AA34" s="228">
        <f t="shared" si="7"/>
        <v>0</v>
      </c>
      <c r="AB34" s="228">
        <f t="shared" si="7"/>
        <v>0</v>
      </c>
      <c r="AC34" s="228">
        <f t="shared" si="7"/>
        <v>0</v>
      </c>
      <c r="AD34" s="228">
        <f t="shared" si="7"/>
        <v>0</v>
      </c>
      <c r="AE34" s="228">
        <f t="shared" si="7"/>
        <v>0</v>
      </c>
      <c r="AF34" s="228">
        <f t="shared" si="7"/>
        <v>0</v>
      </c>
      <c r="AG34" s="228">
        <f t="shared" si="7"/>
        <v>0</v>
      </c>
      <c r="AH34" s="228">
        <f t="shared" si="7"/>
        <v>0</v>
      </c>
      <c r="AI34" s="228">
        <f t="shared" si="7"/>
        <v>0</v>
      </c>
      <c r="AJ34" s="228">
        <f t="shared" si="7"/>
        <v>0</v>
      </c>
      <c r="AK34" s="228">
        <f t="shared" si="7"/>
        <v>0</v>
      </c>
      <c r="AL34" s="228">
        <f t="shared" si="7"/>
        <v>0</v>
      </c>
      <c r="AM34" s="228">
        <f t="shared" si="7"/>
        <v>0</v>
      </c>
    </row>
    <row r="35" spans="1:39" s="2" customFormat="1" ht="15" x14ac:dyDescent="0.25">
      <c r="A35" s="254"/>
      <c r="B35" s="254">
        <v>1300</v>
      </c>
      <c r="C35" s="224" t="s">
        <v>187</v>
      </c>
      <c r="D35" s="167"/>
      <c r="E35" s="24"/>
      <c r="F35" s="24"/>
      <c r="G35" s="24"/>
      <c r="H35" s="24"/>
      <c r="I35" s="24"/>
      <c r="J35" s="24"/>
      <c r="K35" s="24"/>
      <c r="L35" s="24"/>
      <c r="M35" s="24"/>
      <c r="N35" s="24"/>
      <c r="O35" s="24"/>
      <c r="P35" s="24"/>
      <c r="Q35" s="24"/>
      <c r="R35" s="24"/>
      <c r="S35" s="24"/>
      <c r="T35" s="24"/>
      <c r="U35" s="24"/>
      <c r="V35" s="24"/>
      <c r="W35" s="24"/>
      <c r="X35" s="24"/>
      <c r="Y35" s="27"/>
      <c r="Z35" s="27"/>
      <c r="AA35" s="27"/>
      <c r="AB35" s="27"/>
      <c r="AC35" s="27"/>
      <c r="AD35" s="27"/>
      <c r="AE35" s="27"/>
      <c r="AF35" s="27"/>
      <c r="AG35" s="27"/>
      <c r="AH35" s="27"/>
      <c r="AI35" s="27"/>
      <c r="AJ35" s="27"/>
      <c r="AK35" s="24"/>
      <c r="AL35" s="24"/>
      <c r="AM35" s="17"/>
    </row>
    <row r="36" spans="1:39" s="2" customFormat="1" ht="15" x14ac:dyDescent="0.25">
      <c r="A36" s="254"/>
      <c r="B36" s="254">
        <v>1301</v>
      </c>
      <c r="C36" s="270" t="s">
        <v>220</v>
      </c>
      <c r="D36" s="174">
        <v>74413</v>
      </c>
      <c r="E36" s="27"/>
      <c r="F36" s="27"/>
      <c r="G36" s="27"/>
      <c r="H36" s="27"/>
      <c r="I36" s="27"/>
      <c r="J36" s="27"/>
      <c r="K36" s="27"/>
      <c r="L36" s="27"/>
      <c r="M36" s="27"/>
      <c r="N36" s="27"/>
      <c r="O36" s="27"/>
      <c r="P36" s="27"/>
      <c r="Q36" s="27"/>
      <c r="R36" s="27"/>
      <c r="S36" s="27"/>
      <c r="T36" s="27"/>
      <c r="U36" s="27"/>
      <c r="V36" s="27"/>
      <c r="W36" s="27"/>
      <c r="X36" s="27"/>
      <c r="Y36" s="27"/>
      <c r="Z36" s="27"/>
      <c r="AA36" s="24">
        <v>11635</v>
      </c>
      <c r="AB36" s="27"/>
      <c r="AC36" s="27"/>
      <c r="AD36" s="27"/>
      <c r="AE36" s="27"/>
      <c r="AF36" s="27"/>
      <c r="AG36" s="27"/>
      <c r="AH36" s="27"/>
      <c r="AI36" s="27"/>
      <c r="AJ36" s="27"/>
      <c r="AK36" s="9">
        <f t="shared" ref="AK36:AL43" si="8">SUM(E36+G36+I36+K36+M36+O36+Q36+S36+U36+W36+Y36+AA36+AC36+AE36+AG36+AI36)</f>
        <v>11635</v>
      </c>
      <c r="AL36" s="9">
        <f t="shared" si="8"/>
        <v>0</v>
      </c>
      <c r="AM36" s="258">
        <f t="shared" ref="AM36:AM43" si="9">AK36+AL36</f>
        <v>11635</v>
      </c>
    </row>
    <row r="37" spans="1:39" s="117" customFormat="1" ht="15" x14ac:dyDescent="0.25">
      <c r="A37" s="116"/>
      <c r="B37" s="116">
        <f>B36+1</f>
        <v>1302</v>
      </c>
      <c r="C37" s="269" t="s">
        <v>71</v>
      </c>
      <c r="D37" s="221">
        <v>74413</v>
      </c>
      <c r="E37" s="25"/>
      <c r="F37" s="25"/>
      <c r="G37" s="25"/>
      <c r="H37" s="25"/>
      <c r="I37" s="25"/>
      <c r="J37" s="25"/>
      <c r="K37" s="25"/>
      <c r="L37" s="25"/>
      <c r="M37" s="25"/>
      <c r="N37" s="25"/>
      <c r="O37" s="25"/>
      <c r="P37" s="25"/>
      <c r="Q37" s="25"/>
      <c r="R37" s="25"/>
      <c r="S37" s="25"/>
      <c r="T37" s="25"/>
      <c r="U37" s="25"/>
      <c r="V37" s="25"/>
      <c r="W37" s="25"/>
      <c r="X37" s="25"/>
      <c r="Y37" s="25"/>
      <c r="Z37" s="25"/>
      <c r="AA37" s="24"/>
      <c r="AB37" s="25"/>
      <c r="AC37" s="25"/>
      <c r="AD37" s="25"/>
      <c r="AE37" s="25"/>
      <c r="AF37" s="25"/>
      <c r="AG37" s="25"/>
      <c r="AH37" s="25"/>
      <c r="AI37" s="25"/>
      <c r="AJ37" s="25"/>
      <c r="AK37" s="9">
        <f t="shared" si="8"/>
        <v>0</v>
      </c>
      <c r="AL37" s="9">
        <f t="shared" si="8"/>
        <v>0</v>
      </c>
      <c r="AM37" s="258">
        <f t="shared" si="9"/>
        <v>0</v>
      </c>
    </row>
    <row r="38" spans="1:39" s="2" customFormat="1" ht="15" x14ac:dyDescent="0.25">
      <c r="A38" s="254"/>
      <c r="B38" s="254">
        <f t="shared" ref="B38:B43" si="10">B37+1</f>
        <v>1303</v>
      </c>
      <c r="C38" s="269" t="s">
        <v>105</v>
      </c>
      <c r="D38" s="174">
        <v>109963</v>
      </c>
      <c r="E38" s="27"/>
      <c r="F38" s="27"/>
      <c r="G38" s="27"/>
      <c r="H38" s="27"/>
      <c r="I38" s="27"/>
      <c r="J38" s="27"/>
      <c r="K38" s="27"/>
      <c r="L38" s="27"/>
      <c r="M38" s="27"/>
      <c r="N38" s="27"/>
      <c r="O38" s="27"/>
      <c r="P38" s="27"/>
      <c r="Q38" s="27"/>
      <c r="R38" s="27"/>
      <c r="S38" s="27"/>
      <c r="T38" s="27"/>
      <c r="U38" s="27"/>
      <c r="V38" s="27"/>
      <c r="W38" s="27"/>
      <c r="X38" s="27"/>
      <c r="Y38" s="27"/>
      <c r="Z38" s="27"/>
      <c r="AA38" s="24"/>
      <c r="AB38" s="27"/>
      <c r="AC38" s="27"/>
      <c r="AD38" s="27"/>
      <c r="AE38" s="27"/>
      <c r="AF38" s="27"/>
      <c r="AG38" s="27"/>
      <c r="AH38" s="27"/>
      <c r="AI38" s="27"/>
      <c r="AJ38" s="27"/>
      <c r="AK38" s="9">
        <f t="shared" si="8"/>
        <v>0</v>
      </c>
      <c r="AL38" s="9">
        <f t="shared" si="8"/>
        <v>0</v>
      </c>
      <c r="AM38" s="258">
        <f t="shared" si="9"/>
        <v>0</v>
      </c>
    </row>
    <row r="39" spans="1:39" s="2" customFormat="1" ht="15" x14ac:dyDescent="0.25">
      <c r="A39" s="254"/>
      <c r="B39" s="254">
        <f t="shared" si="10"/>
        <v>1304</v>
      </c>
      <c r="C39" s="269" t="s">
        <v>106</v>
      </c>
      <c r="D39" s="167">
        <v>0</v>
      </c>
      <c r="E39" s="24"/>
      <c r="F39" s="24"/>
      <c r="G39" s="24"/>
      <c r="H39" s="24"/>
      <c r="I39" s="24"/>
      <c r="J39" s="24"/>
      <c r="K39" s="24"/>
      <c r="L39" s="24"/>
      <c r="M39" s="24"/>
      <c r="N39" s="24"/>
      <c r="O39" s="24"/>
      <c r="P39" s="24"/>
      <c r="Q39" s="24"/>
      <c r="R39" s="24"/>
      <c r="S39" s="24"/>
      <c r="T39" s="24"/>
      <c r="U39" s="24"/>
      <c r="V39" s="24"/>
      <c r="W39" s="24"/>
      <c r="X39" s="24"/>
      <c r="Y39" s="24"/>
      <c r="Z39" s="24"/>
      <c r="AA39" s="260">
        <v>36654</v>
      </c>
      <c r="AB39" s="28"/>
      <c r="AC39" s="24"/>
      <c r="AD39" s="24"/>
      <c r="AE39" s="24"/>
      <c r="AF39" s="24"/>
      <c r="AG39" s="24"/>
      <c r="AH39" s="24"/>
      <c r="AI39" s="24"/>
      <c r="AJ39" s="24"/>
      <c r="AK39" s="9">
        <f t="shared" si="8"/>
        <v>36654</v>
      </c>
      <c r="AL39" s="9">
        <f t="shared" si="8"/>
        <v>0</v>
      </c>
      <c r="AM39" s="258">
        <f t="shared" si="9"/>
        <v>36654</v>
      </c>
    </row>
    <row r="40" spans="1:39" s="2" customFormat="1" ht="15" x14ac:dyDescent="0.25">
      <c r="A40" s="254"/>
      <c r="B40" s="254">
        <f t="shared" si="10"/>
        <v>1305</v>
      </c>
      <c r="C40" s="269" t="s">
        <v>107</v>
      </c>
      <c r="D40" s="167">
        <v>148774</v>
      </c>
      <c r="E40" s="25"/>
      <c r="F40" s="27"/>
      <c r="G40" s="27"/>
      <c r="H40" s="27"/>
      <c r="I40" s="27"/>
      <c r="J40" s="27"/>
      <c r="K40" s="27"/>
      <c r="L40" s="27"/>
      <c r="M40" s="27"/>
      <c r="N40" s="27"/>
      <c r="O40" s="27"/>
      <c r="P40" s="27"/>
      <c r="Q40" s="27"/>
      <c r="R40" s="27"/>
      <c r="S40" s="27"/>
      <c r="T40" s="27"/>
      <c r="U40" s="27"/>
      <c r="V40" s="27"/>
      <c r="W40" s="27"/>
      <c r="X40" s="27"/>
      <c r="Y40" s="28"/>
      <c r="Z40" s="28"/>
      <c r="AA40" s="260"/>
      <c r="AB40" s="28"/>
      <c r="AC40" s="28"/>
      <c r="AD40" s="28"/>
      <c r="AE40" s="28"/>
      <c r="AF40" s="28"/>
      <c r="AG40" s="28"/>
      <c r="AH40" s="28"/>
      <c r="AI40" s="28"/>
      <c r="AJ40" s="28"/>
      <c r="AK40" s="9">
        <f t="shared" si="8"/>
        <v>0</v>
      </c>
      <c r="AL40" s="9">
        <f t="shared" si="8"/>
        <v>0</v>
      </c>
      <c r="AM40" s="258">
        <f t="shared" si="9"/>
        <v>0</v>
      </c>
    </row>
    <row r="41" spans="1:39" s="2" customFormat="1" ht="15" x14ac:dyDescent="0.25">
      <c r="A41" s="254"/>
      <c r="B41" s="254">
        <f t="shared" si="10"/>
        <v>1306</v>
      </c>
      <c r="C41" s="269" t="s">
        <v>109</v>
      </c>
      <c r="D41" s="167">
        <v>0</v>
      </c>
      <c r="E41" s="27"/>
      <c r="F41" s="27"/>
      <c r="G41" s="27"/>
      <c r="H41" s="27"/>
      <c r="I41" s="27"/>
      <c r="J41" s="27"/>
      <c r="K41" s="27"/>
      <c r="L41" s="27"/>
      <c r="M41" s="25"/>
      <c r="N41" s="27"/>
      <c r="O41" s="27"/>
      <c r="P41" s="27"/>
      <c r="Q41" s="27"/>
      <c r="R41" s="27"/>
      <c r="S41" s="27"/>
      <c r="T41" s="27"/>
      <c r="U41" s="27"/>
      <c r="V41" s="27"/>
      <c r="W41" s="27"/>
      <c r="X41" s="27"/>
      <c r="Y41" s="28"/>
      <c r="Z41" s="28"/>
      <c r="AA41" s="260">
        <v>49591</v>
      </c>
      <c r="AB41" s="28"/>
      <c r="AC41" s="28"/>
      <c r="AD41" s="28"/>
      <c r="AE41" s="28"/>
      <c r="AF41" s="28"/>
      <c r="AG41" s="28"/>
      <c r="AH41" s="28"/>
      <c r="AI41" s="28"/>
      <c r="AJ41" s="28"/>
      <c r="AK41" s="9">
        <f t="shared" si="8"/>
        <v>49591</v>
      </c>
      <c r="AL41" s="9">
        <f t="shared" si="8"/>
        <v>0</v>
      </c>
      <c r="AM41" s="258">
        <f t="shared" si="9"/>
        <v>49591</v>
      </c>
    </row>
    <row r="42" spans="1:39" s="2" customFormat="1" ht="15" x14ac:dyDescent="0.25">
      <c r="A42" s="254"/>
      <c r="B42" s="254">
        <f t="shared" si="10"/>
        <v>1307</v>
      </c>
      <c r="C42" s="269" t="s">
        <v>108</v>
      </c>
      <c r="D42" s="167">
        <v>129368</v>
      </c>
      <c r="E42" s="25"/>
      <c r="F42" s="27"/>
      <c r="G42" s="27"/>
      <c r="H42" s="27"/>
      <c r="I42" s="27"/>
      <c r="J42" s="27"/>
      <c r="K42" s="27"/>
      <c r="L42" s="27"/>
      <c r="M42" s="27"/>
      <c r="N42" s="27"/>
      <c r="O42" s="27"/>
      <c r="P42" s="27"/>
      <c r="Q42" s="27"/>
      <c r="R42" s="27"/>
      <c r="S42" s="27"/>
      <c r="T42" s="27"/>
      <c r="U42" s="27"/>
      <c r="V42" s="27"/>
      <c r="W42" s="27"/>
      <c r="X42" s="27"/>
      <c r="Y42" s="28"/>
      <c r="Z42" s="28"/>
      <c r="AA42" s="260"/>
      <c r="AB42" s="28"/>
      <c r="AC42" s="28"/>
      <c r="AD42" s="28"/>
      <c r="AE42" s="28"/>
      <c r="AF42" s="28"/>
      <c r="AG42" s="28"/>
      <c r="AH42" s="28"/>
      <c r="AI42" s="28"/>
      <c r="AJ42" s="28"/>
      <c r="AK42" s="9">
        <f t="shared" si="8"/>
        <v>0</v>
      </c>
      <c r="AL42" s="9">
        <f t="shared" si="8"/>
        <v>0</v>
      </c>
      <c r="AM42" s="258">
        <f t="shared" si="9"/>
        <v>0</v>
      </c>
    </row>
    <row r="43" spans="1:39" s="2" customFormat="1" ht="15" x14ac:dyDescent="0.25">
      <c r="A43" s="254"/>
      <c r="B43" s="254">
        <f t="shared" si="10"/>
        <v>1308</v>
      </c>
      <c r="C43" s="269" t="s">
        <v>110</v>
      </c>
      <c r="D43" s="167">
        <v>0</v>
      </c>
      <c r="E43" s="27"/>
      <c r="F43" s="27"/>
      <c r="G43" s="27"/>
      <c r="H43" s="27"/>
      <c r="I43" s="27"/>
      <c r="J43" s="27"/>
      <c r="K43" s="27"/>
      <c r="L43" s="27"/>
      <c r="M43" s="27"/>
      <c r="N43" s="27"/>
      <c r="O43" s="27"/>
      <c r="P43" s="27"/>
      <c r="Q43" s="27"/>
      <c r="R43" s="27"/>
      <c r="S43" s="27"/>
      <c r="T43" s="27"/>
      <c r="U43" s="27"/>
      <c r="V43" s="27"/>
      <c r="W43" s="27"/>
      <c r="X43" s="27"/>
      <c r="Y43" s="28"/>
      <c r="Z43" s="28"/>
      <c r="AA43" s="260">
        <v>43123</v>
      </c>
      <c r="AB43" s="28"/>
      <c r="AC43" s="28"/>
      <c r="AD43" s="28"/>
      <c r="AE43" s="28"/>
      <c r="AF43" s="28"/>
      <c r="AG43" s="28"/>
      <c r="AH43" s="28"/>
      <c r="AI43" s="28"/>
      <c r="AJ43" s="28"/>
      <c r="AK43" s="9">
        <f t="shared" si="8"/>
        <v>43123</v>
      </c>
      <c r="AL43" s="9">
        <f t="shared" si="8"/>
        <v>0</v>
      </c>
      <c r="AM43" s="258">
        <f t="shared" si="9"/>
        <v>43123</v>
      </c>
    </row>
    <row r="44" spans="1:39" s="2" customFormat="1" ht="15" x14ac:dyDescent="0.25">
      <c r="A44" s="254"/>
      <c r="B44" s="254"/>
      <c r="C44" s="137"/>
      <c r="D44" s="167"/>
      <c r="E44" s="27"/>
      <c r="F44" s="27"/>
      <c r="G44" s="27"/>
      <c r="H44" s="27"/>
      <c r="I44" s="27"/>
      <c r="J44" s="27"/>
      <c r="K44" s="27"/>
      <c r="L44" s="27"/>
      <c r="M44" s="27"/>
      <c r="N44" s="27"/>
      <c r="O44" s="27"/>
      <c r="P44" s="27"/>
      <c r="Q44" s="27"/>
      <c r="R44" s="27"/>
      <c r="S44" s="27"/>
      <c r="T44" s="27"/>
      <c r="U44" s="27"/>
      <c r="V44" s="27"/>
      <c r="W44" s="27"/>
      <c r="X44" s="27"/>
      <c r="Y44" s="28"/>
      <c r="Z44" s="28"/>
      <c r="AA44" s="28"/>
      <c r="AB44" s="28"/>
      <c r="AC44" s="28"/>
      <c r="AD44" s="28"/>
      <c r="AE44" s="28"/>
      <c r="AF44" s="28"/>
      <c r="AG44" s="28"/>
      <c r="AH44" s="28"/>
      <c r="AI44" s="28"/>
      <c r="AJ44" s="28"/>
      <c r="AK44" s="24"/>
      <c r="AL44" s="24"/>
      <c r="AM44" s="17"/>
    </row>
    <row r="45" spans="1:39" s="2" customFormat="1" ht="15" x14ac:dyDescent="0.25">
      <c r="A45" s="254"/>
      <c r="B45" s="11">
        <v>1399</v>
      </c>
      <c r="C45" s="11" t="s">
        <v>10</v>
      </c>
      <c r="D45" s="228">
        <f>SUM(D36:D43)</f>
        <v>536931</v>
      </c>
      <c r="E45" s="228">
        <f t="shared" ref="E45:AM45" si="11">SUM(E36:E43)</f>
        <v>0</v>
      </c>
      <c r="F45" s="228">
        <f t="shared" si="11"/>
        <v>0</v>
      </c>
      <c r="G45" s="228">
        <f t="shared" si="11"/>
        <v>0</v>
      </c>
      <c r="H45" s="228">
        <f t="shared" si="11"/>
        <v>0</v>
      </c>
      <c r="I45" s="228">
        <f t="shared" si="11"/>
        <v>0</v>
      </c>
      <c r="J45" s="228">
        <f t="shared" si="11"/>
        <v>0</v>
      </c>
      <c r="K45" s="228">
        <f t="shared" si="11"/>
        <v>0</v>
      </c>
      <c r="L45" s="228">
        <f t="shared" si="11"/>
        <v>0</v>
      </c>
      <c r="M45" s="228">
        <f t="shared" si="11"/>
        <v>0</v>
      </c>
      <c r="N45" s="228">
        <f t="shared" si="11"/>
        <v>0</v>
      </c>
      <c r="O45" s="228">
        <f t="shared" si="11"/>
        <v>0</v>
      </c>
      <c r="P45" s="228">
        <f t="shared" si="11"/>
        <v>0</v>
      </c>
      <c r="Q45" s="228">
        <f t="shared" si="11"/>
        <v>0</v>
      </c>
      <c r="R45" s="228">
        <f t="shared" si="11"/>
        <v>0</v>
      </c>
      <c r="S45" s="228">
        <f t="shared" si="11"/>
        <v>0</v>
      </c>
      <c r="T45" s="228">
        <f t="shared" si="11"/>
        <v>0</v>
      </c>
      <c r="U45" s="228">
        <f t="shared" si="11"/>
        <v>0</v>
      </c>
      <c r="V45" s="228">
        <f t="shared" si="11"/>
        <v>0</v>
      </c>
      <c r="W45" s="228">
        <f t="shared" si="11"/>
        <v>0</v>
      </c>
      <c r="X45" s="228">
        <f t="shared" si="11"/>
        <v>0</v>
      </c>
      <c r="Y45" s="228">
        <f t="shared" si="11"/>
        <v>0</v>
      </c>
      <c r="Z45" s="228">
        <f t="shared" si="11"/>
        <v>0</v>
      </c>
      <c r="AA45" s="228">
        <f t="shared" si="11"/>
        <v>141003</v>
      </c>
      <c r="AB45" s="228">
        <f t="shared" si="11"/>
        <v>0</v>
      </c>
      <c r="AC45" s="228">
        <f t="shared" si="11"/>
        <v>0</v>
      </c>
      <c r="AD45" s="228">
        <f t="shared" si="11"/>
        <v>0</v>
      </c>
      <c r="AE45" s="228">
        <f t="shared" si="11"/>
        <v>0</v>
      </c>
      <c r="AF45" s="228">
        <f t="shared" si="11"/>
        <v>0</v>
      </c>
      <c r="AG45" s="228">
        <f t="shared" si="11"/>
        <v>0</v>
      </c>
      <c r="AH45" s="228">
        <f t="shared" si="11"/>
        <v>0</v>
      </c>
      <c r="AI45" s="228">
        <f t="shared" si="11"/>
        <v>0</v>
      </c>
      <c r="AJ45" s="228">
        <f t="shared" si="11"/>
        <v>0</v>
      </c>
      <c r="AK45" s="228">
        <f t="shared" si="11"/>
        <v>141003</v>
      </c>
      <c r="AL45" s="228">
        <f t="shared" si="11"/>
        <v>0</v>
      </c>
      <c r="AM45" s="228">
        <f t="shared" si="11"/>
        <v>141003</v>
      </c>
    </row>
    <row r="46" spans="1:39" s="2" customFormat="1" ht="15" x14ac:dyDescent="0.25">
      <c r="A46" s="254"/>
      <c r="B46" s="254">
        <v>1600</v>
      </c>
      <c r="C46" s="224" t="s">
        <v>188</v>
      </c>
      <c r="D46" s="167"/>
      <c r="E46" s="24"/>
      <c r="F46" s="24"/>
      <c r="G46" s="24"/>
      <c r="H46" s="24"/>
      <c r="I46" s="24"/>
      <c r="J46" s="24"/>
      <c r="K46" s="24"/>
      <c r="L46" s="24"/>
      <c r="M46" s="24"/>
      <c r="N46" s="24"/>
      <c r="O46" s="24"/>
      <c r="P46" s="24"/>
      <c r="Q46" s="24"/>
      <c r="R46" s="24"/>
      <c r="S46" s="24"/>
      <c r="T46" s="24"/>
      <c r="U46" s="24"/>
      <c r="V46" s="24"/>
      <c r="W46" s="24"/>
      <c r="X46" s="24"/>
      <c r="Y46" s="24"/>
      <c r="Z46" s="24"/>
      <c r="AA46" s="24"/>
      <c r="AB46" s="24"/>
      <c r="AC46" s="24"/>
      <c r="AD46" s="24"/>
      <c r="AE46" s="24"/>
      <c r="AF46" s="24"/>
      <c r="AG46" s="24"/>
      <c r="AH46" s="24"/>
      <c r="AI46" s="24"/>
      <c r="AJ46" s="24"/>
      <c r="AK46" s="24"/>
      <c r="AL46" s="24"/>
      <c r="AM46" s="17"/>
    </row>
    <row r="47" spans="1:39" s="2" customFormat="1" ht="15" x14ac:dyDescent="0.25">
      <c r="A47" s="254"/>
      <c r="B47" s="254">
        <v>1601</v>
      </c>
      <c r="C47" s="137" t="s">
        <v>120</v>
      </c>
      <c r="D47" s="167">
        <v>30000</v>
      </c>
      <c r="E47" s="24"/>
      <c r="F47" s="24"/>
      <c r="G47" s="24"/>
      <c r="H47" s="24"/>
      <c r="I47" s="24"/>
      <c r="J47" s="24"/>
      <c r="K47" s="24"/>
      <c r="L47" s="24"/>
      <c r="M47" s="24"/>
      <c r="N47" s="24"/>
      <c r="O47" s="24"/>
      <c r="P47" s="24"/>
      <c r="Q47" s="24"/>
      <c r="R47" s="24"/>
      <c r="S47" s="24"/>
      <c r="T47" s="24"/>
      <c r="U47" s="24"/>
      <c r="V47" s="24"/>
      <c r="W47" s="24"/>
      <c r="X47" s="24"/>
      <c r="Y47" s="24"/>
      <c r="Z47" s="24"/>
      <c r="AA47" s="24"/>
      <c r="AB47" s="24"/>
      <c r="AC47" s="24"/>
      <c r="AD47" s="24"/>
      <c r="AE47" s="24"/>
      <c r="AF47" s="24"/>
      <c r="AG47" s="24"/>
      <c r="AH47" s="24"/>
      <c r="AI47" s="24"/>
      <c r="AJ47" s="24"/>
      <c r="AK47" s="9">
        <f t="shared" ref="AK47:AL48" si="12">SUM(E47+G47+I47+K47+M47+O47+Q47+S47+U47+W47+Y47+AA47+AC47+AE47+AG47+AI47)</f>
        <v>0</v>
      </c>
      <c r="AL47" s="9">
        <f t="shared" si="12"/>
        <v>0</v>
      </c>
      <c r="AM47" s="258">
        <f t="shared" ref="AM47:AM48" si="13">AK47+AL47</f>
        <v>0</v>
      </c>
    </row>
    <row r="48" spans="1:39" s="2" customFormat="1" ht="15" x14ac:dyDescent="0.25">
      <c r="A48" s="254"/>
      <c r="B48" s="254">
        <v>1602</v>
      </c>
      <c r="C48" s="10" t="s">
        <v>221</v>
      </c>
      <c r="D48" s="167">
        <v>210000</v>
      </c>
      <c r="E48" s="24"/>
      <c r="F48" s="24"/>
      <c r="G48" s="24"/>
      <c r="H48" s="24"/>
      <c r="I48" s="24"/>
      <c r="J48" s="24"/>
      <c r="K48" s="24"/>
      <c r="L48" s="24"/>
      <c r="M48" s="24"/>
      <c r="N48" s="24"/>
      <c r="O48" s="24"/>
      <c r="P48" s="24"/>
      <c r="Q48" s="24"/>
      <c r="R48" s="24"/>
      <c r="S48" s="24"/>
      <c r="T48" s="24"/>
      <c r="U48" s="24"/>
      <c r="V48" s="24"/>
      <c r="W48" s="24"/>
      <c r="X48" s="24">
        <v>30000</v>
      </c>
      <c r="Y48" s="24"/>
      <c r="Z48" s="24"/>
      <c r="AA48" s="24">
        <v>64000</v>
      </c>
      <c r="AB48" s="24"/>
      <c r="AC48" s="24"/>
      <c r="AD48" s="24"/>
      <c r="AE48" s="24"/>
      <c r="AF48" s="24"/>
      <c r="AG48" s="24"/>
      <c r="AH48" s="24"/>
      <c r="AI48" s="24"/>
      <c r="AJ48" s="24"/>
      <c r="AK48" s="9">
        <f t="shared" si="12"/>
        <v>64000</v>
      </c>
      <c r="AL48" s="9">
        <f t="shared" si="12"/>
        <v>30000</v>
      </c>
      <c r="AM48" s="258">
        <f t="shared" si="13"/>
        <v>94000</v>
      </c>
    </row>
    <row r="49" spans="1:41" s="2" customFormat="1" ht="15" x14ac:dyDescent="0.25">
      <c r="A49" s="254"/>
      <c r="B49" s="254"/>
      <c r="C49" s="137"/>
      <c r="D49" s="167"/>
      <c r="E49" s="24"/>
      <c r="F49" s="24"/>
      <c r="G49" s="24"/>
      <c r="H49" s="24"/>
      <c r="I49" s="24"/>
      <c r="J49" s="24"/>
      <c r="K49" s="24"/>
      <c r="L49" s="24"/>
      <c r="M49" s="24"/>
      <c r="N49" s="24"/>
      <c r="O49" s="24"/>
      <c r="P49" s="24"/>
      <c r="Q49" s="24"/>
      <c r="R49" s="24"/>
      <c r="S49" s="24"/>
      <c r="T49" s="24"/>
      <c r="U49" s="24"/>
      <c r="V49" s="24"/>
      <c r="W49" s="24"/>
      <c r="X49" s="24"/>
      <c r="Y49" s="24"/>
      <c r="Z49" s="24"/>
      <c r="AA49" s="24"/>
      <c r="AB49" s="24"/>
      <c r="AC49" s="24"/>
      <c r="AD49" s="24"/>
      <c r="AE49" s="24"/>
      <c r="AF49" s="24"/>
      <c r="AG49" s="24"/>
      <c r="AH49" s="24"/>
      <c r="AI49" s="24"/>
      <c r="AJ49" s="24"/>
      <c r="AK49" s="24"/>
      <c r="AL49" s="24"/>
      <c r="AM49" s="17"/>
    </row>
    <row r="50" spans="1:41" s="2" customFormat="1" ht="15" x14ac:dyDescent="0.25">
      <c r="A50" s="254"/>
      <c r="B50" s="11">
        <v>1699</v>
      </c>
      <c r="C50" s="225" t="s">
        <v>10</v>
      </c>
      <c r="D50" s="228">
        <f>SUM(D47:D48)</f>
        <v>240000</v>
      </c>
      <c r="E50" s="228">
        <f t="shared" ref="E50:AM50" si="14">SUM(E47:E48)</f>
        <v>0</v>
      </c>
      <c r="F50" s="228">
        <f t="shared" si="14"/>
        <v>0</v>
      </c>
      <c r="G50" s="228">
        <f t="shared" si="14"/>
        <v>0</v>
      </c>
      <c r="H50" s="228">
        <f t="shared" si="14"/>
        <v>0</v>
      </c>
      <c r="I50" s="228">
        <f t="shared" si="14"/>
        <v>0</v>
      </c>
      <c r="J50" s="228">
        <f t="shared" si="14"/>
        <v>0</v>
      </c>
      <c r="K50" s="228">
        <f t="shared" si="14"/>
        <v>0</v>
      </c>
      <c r="L50" s="228">
        <f t="shared" si="14"/>
        <v>0</v>
      </c>
      <c r="M50" s="228">
        <f t="shared" si="14"/>
        <v>0</v>
      </c>
      <c r="N50" s="228">
        <f t="shared" si="14"/>
        <v>0</v>
      </c>
      <c r="O50" s="228">
        <f t="shared" si="14"/>
        <v>0</v>
      </c>
      <c r="P50" s="228">
        <f t="shared" si="14"/>
        <v>0</v>
      </c>
      <c r="Q50" s="228">
        <f t="shared" si="14"/>
        <v>0</v>
      </c>
      <c r="R50" s="228">
        <f t="shared" si="14"/>
        <v>0</v>
      </c>
      <c r="S50" s="228">
        <f t="shared" si="14"/>
        <v>0</v>
      </c>
      <c r="T50" s="228">
        <f t="shared" si="14"/>
        <v>0</v>
      </c>
      <c r="U50" s="228">
        <f t="shared" si="14"/>
        <v>0</v>
      </c>
      <c r="V50" s="228">
        <f t="shared" si="14"/>
        <v>0</v>
      </c>
      <c r="W50" s="228">
        <f t="shared" si="14"/>
        <v>0</v>
      </c>
      <c r="X50" s="228">
        <f t="shared" si="14"/>
        <v>30000</v>
      </c>
      <c r="Y50" s="228">
        <f t="shared" si="14"/>
        <v>0</v>
      </c>
      <c r="Z50" s="228">
        <f t="shared" si="14"/>
        <v>0</v>
      </c>
      <c r="AA50" s="228">
        <f t="shared" si="14"/>
        <v>64000</v>
      </c>
      <c r="AB50" s="228">
        <f t="shared" si="14"/>
        <v>0</v>
      </c>
      <c r="AC50" s="228">
        <f t="shared" si="14"/>
        <v>0</v>
      </c>
      <c r="AD50" s="228">
        <f t="shared" si="14"/>
        <v>0</v>
      </c>
      <c r="AE50" s="228">
        <f t="shared" si="14"/>
        <v>0</v>
      </c>
      <c r="AF50" s="228">
        <f t="shared" si="14"/>
        <v>0</v>
      </c>
      <c r="AG50" s="228">
        <f t="shared" si="14"/>
        <v>0</v>
      </c>
      <c r="AH50" s="228">
        <f t="shared" si="14"/>
        <v>0</v>
      </c>
      <c r="AI50" s="228">
        <f t="shared" si="14"/>
        <v>0</v>
      </c>
      <c r="AJ50" s="228">
        <f t="shared" si="14"/>
        <v>0</v>
      </c>
      <c r="AK50" s="228">
        <f t="shared" si="14"/>
        <v>64000</v>
      </c>
      <c r="AL50" s="228">
        <f t="shared" si="14"/>
        <v>30000</v>
      </c>
      <c r="AM50" s="228">
        <f t="shared" si="14"/>
        <v>94000</v>
      </c>
    </row>
    <row r="51" spans="1:41" s="2" customFormat="1" ht="15" x14ac:dyDescent="0.25">
      <c r="A51" s="254"/>
      <c r="B51" s="13">
        <v>1999</v>
      </c>
      <c r="C51" s="13" t="s">
        <v>11</v>
      </c>
      <c r="D51" s="229">
        <f t="shared" ref="D51:AM51" si="15">SUM(D21,D34,D45,D50)</f>
        <v>3674423</v>
      </c>
      <c r="E51" s="229">
        <f t="shared" si="15"/>
        <v>0</v>
      </c>
      <c r="F51" s="229">
        <f t="shared" si="15"/>
        <v>0</v>
      </c>
      <c r="G51" s="229">
        <f t="shared" si="15"/>
        <v>0</v>
      </c>
      <c r="H51" s="229">
        <f t="shared" si="15"/>
        <v>0</v>
      </c>
      <c r="I51" s="229">
        <f t="shared" si="15"/>
        <v>0</v>
      </c>
      <c r="J51" s="229">
        <f t="shared" si="15"/>
        <v>0</v>
      </c>
      <c r="K51" s="229">
        <f t="shared" si="15"/>
        <v>0</v>
      </c>
      <c r="L51" s="229">
        <f t="shared" si="15"/>
        <v>0</v>
      </c>
      <c r="M51" s="229">
        <f t="shared" si="15"/>
        <v>0</v>
      </c>
      <c r="N51" s="229">
        <f t="shared" si="15"/>
        <v>0</v>
      </c>
      <c r="O51" s="229">
        <f t="shared" si="15"/>
        <v>0</v>
      </c>
      <c r="P51" s="229">
        <f t="shared" si="15"/>
        <v>0</v>
      </c>
      <c r="Q51" s="229">
        <f t="shared" si="15"/>
        <v>0</v>
      </c>
      <c r="R51" s="229">
        <f t="shared" si="15"/>
        <v>0</v>
      </c>
      <c r="S51" s="229">
        <f t="shared" si="15"/>
        <v>0</v>
      </c>
      <c r="T51" s="229">
        <f t="shared" si="15"/>
        <v>0</v>
      </c>
      <c r="U51" s="229">
        <f t="shared" si="15"/>
        <v>0</v>
      </c>
      <c r="V51" s="229">
        <f t="shared" si="15"/>
        <v>0</v>
      </c>
      <c r="W51" s="229">
        <f t="shared" si="15"/>
        <v>0</v>
      </c>
      <c r="X51" s="229">
        <f t="shared" si="15"/>
        <v>30000</v>
      </c>
      <c r="Y51" s="229">
        <f t="shared" si="15"/>
        <v>0</v>
      </c>
      <c r="Z51" s="229">
        <f t="shared" si="15"/>
        <v>0</v>
      </c>
      <c r="AA51" s="229">
        <f t="shared" si="15"/>
        <v>849860</v>
      </c>
      <c r="AB51" s="229">
        <f t="shared" si="15"/>
        <v>0</v>
      </c>
      <c r="AC51" s="229">
        <f t="shared" si="15"/>
        <v>0</v>
      </c>
      <c r="AD51" s="229">
        <f t="shared" si="15"/>
        <v>0</v>
      </c>
      <c r="AE51" s="229">
        <f t="shared" si="15"/>
        <v>0</v>
      </c>
      <c r="AF51" s="229">
        <f t="shared" si="15"/>
        <v>0</v>
      </c>
      <c r="AG51" s="229">
        <f t="shared" si="15"/>
        <v>0</v>
      </c>
      <c r="AH51" s="229">
        <f t="shared" si="15"/>
        <v>0</v>
      </c>
      <c r="AI51" s="229">
        <f t="shared" si="15"/>
        <v>174103.95409567546</v>
      </c>
      <c r="AJ51" s="229">
        <f t="shared" si="15"/>
        <v>0</v>
      </c>
      <c r="AK51" s="229">
        <f t="shared" si="15"/>
        <v>1023963.9540956754</v>
      </c>
      <c r="AL51" s="229">
        <f t="shared" si="15"/>
        <v>30000</v>
      </c>
      <c r="AM51" s="229">
        <f t="shared" si="15"/>
        <v>1053963.9540956754</v>
      </c>
    </row>
    <row r="52" spans="1:41" s="2" customFormat="1" ht="15" x14ac:dyDescent="0.25">
      <c r="A52" s="254"/>
      <c r="B52" s="12"/>
      <c r="C52" s="12"/>
      <c r="D52" s="167"/>
      <c r="E52" s="24"/>
      <c r="F52" s="24"/>
      <c r="G52" s="24"/>
      <c r="H52" s="24"/>
      <c r="I52" s="24"/>
      <c r="J52" s="24"/>
      <c r="K52" s="24"/>
      <c r="L52" s="24"/>
      <c r="M52" s="24"/>
      <c r="N52" s="24"/>
      <c r="O52" s="24"/>
      <c r="P52" s="24"/>
      <c r="Q52" s="24"/>
      <c r="R52" s="24"/>
      <c r="S52" s="24"/>
      <c r="T52" s="24"/>
      <c r="U52" s="24"/>
      <c r="V52" s="24"/>
      <c r="W52" s="24"/>
      <c r="X52" s="24"/>
      <c r="Y52" s="27"/>
      <c r="Z52" s="27"/>
      <c r="AA52" s="27"/>
      <c r="AB52" s="27"/>
      <c r="AC52" s="27"/>
      <c r="AD52" s="27"/>
      <c r="AE52" s="27"/>
      <c r="AF52" s="27"/>
      <c r="AG52" s="27"/>
      <c r="AH52" s="27"/>
      <c r="AI52" s="27"/>
      <c r="AJ52" s="27"/>
      <c r="AK52" s="24"/>
      <c r="AL52" s="24"/>
      <c r="AM52" s="17"/>
    </row>
    <row r="53" spans="1:41" s="2" customFormat="1" ht="15" customHeight="1" x14ac:dyDescent="0.25">
      <c r="A53" s="254">
        <v>20</v>
      </c>
      <c r="B53" s="291" t="s">
        <v>12</v>
      </c>
      <c r="C53" s="291"/>
      <c r="D53" s="167"/>
      <c r="E53" s="24"/>
      <c r="F53" s="24"/>
      <c r="G53" s="24"/>
      <c r="H53" s="24"/>
      <c r="I53" s="24"/>
      <c r="J53" s="24"/>
      <c r="K53" s="24"/>
      <c r="L53" s="24"/>
      <c r="M53" s="24"/>
      <c r="N53" s="24"/>
      <c r="O53" s="24"/>
      <c r="P53" s="24"/>
      <c r="Q53" s="24"/>
      <c r="R53" s="24"/>
      <c r="S53" s="24"/>
      <c r="T53" s="24"/>
      <c r="U53" s="24"/>
      <c r="V53" s="24"/>
      <c r="W53" s="24"/>
      <c r="X53" s="24"/>
      <c r="Y53" s="27"/>
      <c r="Z53" s="27"/>
      <c r="AA53" s="27"/>
      <c r="AB53" s="27"/>
      <c r="AC53" s="27"/>
      <c r="AD53" s="27"/>
      <c r="AE53" s="27"/>
      <c r="AF53" s="27"/>
      <c r="AG53" s="27"/>
      <c r="AH53" s="27"/>
      <c r="AI53" s="27"/>
      <c r="AJ53" s="27"/>
      <c r="AK53" s="24"/>
      <c r="AL53" s="24"/>
      <c r="AM53" s="17"/>
    </row>
    <row r="54" spans="1:41" s="2" customFormat="1" ht="15" x14ac:dyDescent="0.25">
      <c r="A54" s="254"/>
      <c r="B54" s="254">
        <v>2100</v>
      </c>
      <c r="C54" s="224" t="s">
        <v>189</v>
      </c>
      <c r="D54" s="167"/>
      <c r="E54" s="24"/>
      <c r="F54" s="24"/>
      <c r="G54" s="24"/>
      <c r="H54" s="24"/>
      <c r="I54" s="24"/>
      <c r="J54" s="24"/>
      <c r="K54" s="24"/>
      <c r="L54" s="24"/>
      <c r="M54" s="24"/>
      <c r="N54" s="24"/>
      <c r="O54" s="24"/>
      <c r="P54" s="24"/>
      <c r="Q54" s="24"/>
      <c r="R54" s="24"/>
      <c r="S54" s="24"/>
      <c r="T54" s="24"/>
      <c r="U54" s="24"/>
      <c r="V54" s="24"/>
      <c r="W54" s="24"/>
      <c r="X54" s="24"/>
      <c r="Y54" s="27"/>
      <c r="Z54" s="27"/>
      <c r="AA54" s="27"/>
      <c r="AB54" s="27"/>
      <c r="AC54" s="27"/>
      <c r="AD54" s="27"/>
      <c r="AE54" s="27"/>
      <c r="AF54" s="27"/>
      <c r="AG54" s="27"/>
      <c r="AH54" s="27"/>
      <c r="AI54" s="27"/>
      <c r="AJ54" s="27"/>
      <c r="AK54" s="24"/>
      <c r="AL54" s="24"/>
      <c r="AM54" s="17"/>
    </row>
    <row r="55" spans="1:41" s="2" customFormat="1" ht="42" customHeight="1" x14ac:dyDescent="0.25">
      <c r="A55" s="254"/>
      <c r="B55" s="254">
        <f>B54+1</f>
        <v>2101</v>
      </c>
      <c r="C55" s="254" t="s">
        <v>141</v>
      </c>
      <c r="D55" s="167">
        <v>120000</v>
      </c>
      <c r="E55" s="24">
        <v>191771.22943722946</v>
      </c>
      <c r="F55" s="24"/>
      <c r="G55" s="24">
        <v>14088.264957265001</v>
      </c>
      <c r="H55" s="24"/>
      <c r="I55" s="24"/>
      <c r="J55" s="24"/>
      <c r="K55" s="24">
        <v>321945.21739130432</v>
      </c>
      <c r="L55" s="24"/>
      <c r="M55" s="24">
        <v>262200.25905797101</v>
      </c>
      <c r="N55" s="24"/>
      <c r="O55" s="24"/>
      <c r="P55" s="24"/>
      <c r="Q55" s="27">
        <v>67350.427350427344</v>
      </c>
      <c r="R55" s="27"/>
      <c r="S55" s="27">
        <v>102062.21367521367</v>
      </c>
      <c r="T55" s="27"/>
      <c r="U55" s="27">
        <v>123951.45323931625</v>
      </c>
      <c r="V55" s="27"/>
      <c r="W55" s="24"/>
      <c r="X55" s="24">
        <v>108917.76923076923</v>
      </c>
      <c r="Y55" s="27"/>
      <c r="Z55" s="27"/>
      <c r="AA55" s="27">
        <f>121428.571428571-41000</f>
        <v>80428.571428570998</v>
      </c>
      <c r="AB55" s="27"/>
      <c r="AC55" s="27"/>
      <c r="AD55" s="27"/>
      <c r="AE55" s="27"/>
      <c r="AF55" s="27"/>
      <c r="AG55" s="27"/>
      <c r="AH55" s="27"/>
      <c r="AI55" s="27"/>
      <c r="AJ55" s="27"/>
      <c r="AK55" s="9">
        <f t="shared" ref="AK55:AL82" si="16">SUM(E55+G55+I55+K55+M55+O55+Q55+S55+U55+W55+Y55+AA55+AC55+AE55+AG55+AI55)</f>
        <v>1163797.6365372981</v>
      </c>
      <c r="AL55" s="9">
        <f t="shared" si="16"/>
        <v>108917.76923076923</v>
      </c>
      <c r="AM55" s="258">
        <f t="shared" ref="AM55:AM82" si="17">AK55+AL55</f>
        <v>1272715.4057680673</v>
      </c>
    </row>
    <row r="56" spans="1:41" s="117" customFormat="1" ht="48.75" customHeight="1" x14ac:dyDescent="0.25">
      <c r="A56" s="116"/>
      <c r="B56" s="116">
        <f t="shared" ref="B56:B82" si="18">B55+1</f>
        <v>2102</v>
      </c>
      <c r="C56" s="116" t="s">
        <v>197</v>
      </c>
      <c r="D56" s="221">
        <v>100000</v>
      </c>
      <c r="E56" s="25">
        <v>191771.22943722946</v>
      </c>
      <c r="F56" s="25"/>
      <c r="G56" s="25">
        <v>114088.264957265</v>
      </c>
      <c r="H56" s="25"/>
      <c r="I56" s="25"/>
      <c r="J56" s="25"/>
      <c r="K56" s="25">
        <v>321945.21739130432</v>
      </c>
      <c r="L56" s="25"/>
      <c r="M56" s="25">
        <v>262200.25905797101</v>
      </c>
      <c r="N56" s="25"/>
      <c r="O56" s="25"/>
      <c r="P56" s="25"/>
      <c r="Q56" s="28">
        <v>67350.427350427344</v>
      </c>
      <c r="R56" s="28"/>
      <c r="S56" s="28">
        <v>102062.21367521367</v>
      </c>
      <c r="T56" s="28"/>
      <c r="U56" s="28">
        <v>123951.45323931625</v>
      </c>
      <c r="V56" s="28"/>
      <c r="W56" s="25"/>
      <c r="X56" s="25">
        <v>108917.76923076923</v>
      </c>
      <c r="Y56" s="25"/>
      <c r="Z56" s="25"/>
      <c r="AA56" s="27">
        <f t="shared" ref="AA56:AA81" si="19">121428.571428571-41000</f>
        <v>80428.571428570998</v>
      </c>
      <c r="AB56" s="25"/>
      <c r="AC56" s="25"/>
      <c r="AD56" s="25"/>
      <c r="AE56" s="25"/>
      <c r="AF56" s="25"/>
      <c r="AG56" s="25"/>
      <c r="AH56" s="25"/>
      <c r="AI56" s="25"/>
      <c r="AJ56" s="25"/>
      <c r="AK56" s="9">
        <f t="shared" si="16"/>
        <v>1263797.6365372981</v>
      </c>
      <c r="AL56" s="9">
        <f t="shared" si="16"/>
        <v>108917.76923076923</v>
      </c>
      <c r="AM56" s="258">
        <f t="shared" si="17"/>
        <v>1372715.4057680673</v>
      </c>
    </row>
    <row r="57" spans="1:41" s="6" customFormat="1" ht="42" customHeight="1" x14ac:dyDescent="0.25">
      <c r="A57" s="12"/>
      <c r="B57" s="254">
        <f t="shared" si="18"/>
        <v>2103</v>
      </c>
      <c r="C57" s="254" t="s">
        <v>198</v>
      </c>
      <c r="D57" s="167">
        <v>130000</v>
      </c>
      <c r="E57" s="24">
        <v>191771.22943722946</v>
      </c>
      <c r="F57" s="24"/>
      <c r="G57" s="24">
        <f>114088.264957265-83087</f>
        <v>31001.264957264997</v>
      </c>
      <c r="H57" s="24"/>
      <c r="I57" s="24"/>
      <c r="J57" s="24"/>
      <c r="K57" s="24">
        <v>321945.21739130432</v>
      </c>
      <c r="L57" s="24"/>
      <c r="M57" s="24">
        <v>262200.25905797101</v>
      </c>
      <c r="N57" s="24"/>
      <c r="O57" s="24"/>
      <c r="P57" s="24"/>
      <c r="Q57" s="28">
        <v>67350.427350427344</v>
      </c>
      <c r="R57" s="28"/>
      <c r="S57" s="28">
        <v>102062.21367521367</v>
      </c>
      <c r="T57" s="28"/>
      <c r="U57" s="28">
        <v>123951.45323931625</v>
      </c>
      <c r="V57" s="28"/>
      <c r="W57" s="24"/>
      <c r="X57" s="24">
        <f>108917.769230769-25000</f>
        <v>83917.769230769001</v>
      </c>
      <c r="Y57" s="24"/>
      <c r="Z57" s="24"/>
      <c r="AA57" s="27">
        <f t="shared" si="19"/>
        <v>80428.571428570998</v>
      </c>
      <c r="AB57" s="24"/>
      <c r="AC57" s="24"/>
      <c r="AD57" s="24"/>
      <c r="AE57" s="24"/>
      <c r="AF57" s="24"/>
      <c r="AG57" s="24"/>
      <c r="AH57" s="24"/>
      <c r="AI57" s="24"/>
      <c r="AJ57" s="24"/>
      <c r="AK57" s="9">
        <f t="shared" si="16"/>
        <v>1180710.6365372981</v>
      </c>
      <c r="AL57" s="9">
        <f t="shared" si="16"/>
        <v>83917.769230769001</v>
      </c>
      <c r="AM57" s="258">
        <f t="shared" si="17"/>
        <v>1264628.4057680671</v>
      </c>
    </row>
    <row r="58" spans="1:41" s="117" customFormat="1" ht="42" customHeight="1" x14ac:dyDescent="0.25">
      <c r="A58" s="116"/>
      <c r="B58" s="116">
        <f t="shared" si="18"/>
        <v>2104</v>
      </c>
      <c r="C58" s="116" t="s">
        <v>145</v>
      </c>
      <c r="D58" s="221">
        <v>150000</v>
      </c>
      <c r="E58" s="25">
        <v>191771.22943722946</v>
      </c>
      <c r="F58" s="25"/>
      <c r="G58" s="25">
        <v>114088.264957265</v>
      </c>
      <c r="H58" s="25"/>
      <c r="I58" s="25"/>
      <c r="J58" s="25"/>
      <c r="K58" s="25">
        <v>321945.21739130432</v>
      </c>
      <c r="L58" s="25"/>
      <c r="M58" s="25">
        <v>262200.25905797101</v>
      </c>
      <c r="N58" s="25"/>
      <c r="O58" s="25"/>
      <c r="P58" s="25"/>
      <c r="Q58" s="28">
        <v>67350.427350427344</v>
      </c>
      <c r="R58" s="28"/>
      <c r="S58" s="28">
        <v>102062.21367521367</v>
      </c>
      <c r="T58" s="28"/>
      <c r="U58" s="28">
        <v>123951.45323931625</v>
      </c>
      <c r="V58" s="28"/>
      <c r="W58" s="25"/>
      <c r="X58" s="25">
        <v>108917.76923076923</v>
      </c>
      <c r="Y58" s="25"/>
      <c r="Z58" s="25"/>
      <c r="AA58" s="27">
        <f t="shared" si="19"/>
        <v>80428.571428570998</v>
      </c>
      <c r="AB58" s="25"/>
      <c r="AC58" s="25"/>
      <c r="AD58" s="25"/>
      <c r="AE58" s="25"/>
      <c r="AF58" s="25"/>
      <c r="AG58" s="25"/>
      <c r="AH58" s="25"/>
      <c r="AI58" s="25"/>
      <c r="AJ58" s="25"/>
      <c r="AK58" s="9">
        <f t="shared" si="16"/>
        <v>1263797.6365372981</v>
      </c>
      <c r="AL58" s="9">
        <f t="shared" si="16"/>
        <v>108917.76923076923</v>
      </c>
      <c r="AM58" s="258">
        <f t="shared" si="17"/>
        <v>1372715.4057680673</v>
      </c>
    </row>
    <row r="59" spans="1:41" s="6" customFormat="1" ht="42" customHeight="1" x14ac:dyDescent="0.25">
      <c r="A59" s="12"/>
      <c r="B59" s="254">
        <f t="shared" si="18"/>
        <v>2105</v>
      </c>
      <c r="C59" s="254" t="s">
        <v>146</v>
      </c>
      <c r="D59" s="167">
        <v>45000</v>
      </c>
      <c r="E59" s="24">
        <v>191771.22943722946</v>
      </c>
      <c r="F59" s="127"/>
      <c r="G59" s="24">
        <v>114088.264957265</v>
      </c>
      <c r="H59" s="24"/>
      <c r="I59" s="24"/>
      <c r="J59" s="24"/>
      <c r="K59" s="24">
        <v>321945.21739130432</v>
      </c>
      <c r="L59" s="24"/>
      <c r="M59" s="24">
        <v>262200.25905797101</v>
      </c>
      <c r="N59" s="127"/>
      <c r="O59" s="127"/>
      <c r="P59" s="127"/>
      <c r="Q59" s="28">
        <v>67350.427350427344</v>
      </c>
      <c r="R59" s="28"/>
      <c r="S59" s="28">
        <v>102062.21367521367</v>
      </c>
      <c r="T59" s="28"/>
      <c r="U59" s="28">
        <v>123951.45323931625</v>
      </c>
      <c r="V59" s="28"/>
      <c r="W59" s="24"/>
      <c r="X59" s="24">
        <f>108917.769230769-25000</f>
        <v>83917.769230769001</v>
      </c>
      <c r="Y59" s="24"/>
      <c r="Z59" s="24"/>
      <c r="AA59" s="27">
        <f t="shared" si="19"/>
        <v>80428.571428570998</v>
      </c>
      <c r="AB59" s="24"/>
      <c r="AC59" s="24"/>
      <c r="AD59" s="24"/>
      <c r="AE59" s="24"/>
      <c r="AF59" s="24"/>
      <c r="AG59" s="24"/>
      <c r="AH59" s="24"/>
      <c r="AI59" s="24"/>
      <c r="AJ59" s="24"/>
      <c r="AK59" s="9">
        <f t="shared" si="16"/>
        <v>1263797.6365372981</v>
      </c>
      <c r="AL59" s="9">
        <f t="shared" si="16"/>
        <v>83917.769230769001</v>
      </c>
      <c r="AM59" s="258">
        <f t="shared" si="17"/>
        <v>1347715.4057680671</v>
      </c>
    </row>
    <row r="60" spans="1:41" s="2" customFormat="1" ht="48.75" customHeight="1" x14ac:dyDescent="0.25">
      <c r="A60" s="254"/>
      <c r="B60" s="254">
        <f t="shared" si="18"/>
        <v>2106</v>
      </c>
      <c r="C60" s="254" t="s">
        <v>147</v>
      </c>
      <c r="D60" s="174">
        <v>40000</v>
      </c>
      <c r="E60" s="27">
        <v>191771.22943722946</v>
      </c>
      <c r="F60" s="27"/>
      <c r="G60" s="27">
        <v>14088.264957265001</v>
      </c>
      <c r="H60" s="27"/>
      <c r="I60" s="27"/>
      <c r="J60" s="27"/>
      <c r="K60" s="27">
        <v>321945.21739130432</v>
      </c>
      <c r="L60" s="27"/>
      <c r="M60" s="27">
        <v>262200.25905797101</v>
      </c>
      <c r="N60" s="27"/>
      <c r="O60" s="27"/>
      <c r="P60" s="27"/>
      <c r="Q60" s="27">
        <v>67350.427350427344</v>
      </c>
      <c r="R60" s="27"/>
      <c r="S60" s="27">
        <v>102062.21367521367</v>
      </c>
      <c r="T60" s="27"/>
      <c r="U60" s="27">
        <v>123951.45323931625</v>
      </c>
      <c r="V60" s="27"/>
      <c r="W60" s="27"/>
      <c r="X60" s="27">
        <v>108917.76923076923</v>
      </c>
      <c r="Y60" s="27"/>
      <c r="Z60" s="27"/>
      <c r="AA60" s="27">
        <f t="shared" si="19"/>
        <v>80428.571428570998</v>
      </c>
      <c r="AB60" s="27"/>
      <c r="AC60" s="27"/>
      <c r="AD60" s="27">
        <v>20000</v>
      </c>
      <c r="AE60" s="27"/>
      <c r="AF60" s="27"/>
      <c r="AG60" s="27"/>
      <c r="AH60" s="27"/>
      <c r="AI60" s="27"/>
      <c r="AJ60" s="27"/>
      <c r="AK60" s="9">
        <f t="shared" si="16"/>
        <v>1163797.6365372981</v>
      </c>
      <c r="AL60" s="9">
        <f t="shared" si="16"/>
        <v>128917.76923076923</v>
      </c>
      <c r="AM60" s="258">
        <f t="shared" si="17"/>
        <v>1292715.4057680673</v>
      </c>
    </row>
    <row r="61" spans="1:41" s="2" customFormat="1" ht="42" customHeight="1" x14ac:dyDescent="0.25">
      <c r="A61" s="254"/>
      <c r="B61" s="254">
        <f t="shared" si="18"/>
        <v>2107</v>
      </c>
      <c r="C61" s="254" t="s">
        <v>148</v>
      </c>
      <c r="D61" s="174">
        <v>50000</v>
      </c>
      <c r="E61" s="27">
        <v>191771.22943722946</v>
      </c>
      <c r="F61" s="27"/>
      <c r="G61" s="27">
        <v>114088.264957265</v>
      </c>
      <c r="H61" s="27"/>
      <c r="I61" s="27"/>
      <c r="J61" s="27"/>
      <c r="K61" s="27">
        <v>321945.21739130432</v>
      </c>
      <c r="L61" s="27"/>
      <c r="M61" s="27">
        <v>262200.25905797101</v>
      </c>
      <c r="N61" s="27"/>
      <c r="O61" s="27"/>
      <c r="P61" s="27"/>
      <c r="Q61" s="27">
        <v>67350.427350427344</v>
      </c>
      <c r="R61" s="27"/>
      <c r="S61" s="27">
        <v>102062.21367521367</v>
      </c>
      <c r="T61" s="27"/>
      <c r="U61" s="27">
        <v>123951.45323931625</v>
      </c>
      <c r="V61" s="27"/>
      <c r="W61" s="27"/>
      <c r="X61" s="27">
        <f>108917.769230769-25000</f>
        <v>83917.769230769001</v>
      </c>
      <c r="Y61" s="27"/>
      <c r="Z61" s="27"/>
      <c r="AA61" s="27">
        <f t="shared" si="19"/>
        <v>80428.571428570998</v>
      </c>
      <c r="AB61" s="27"/>
      <c r="AC61" s="27"/>
      <c r="AD61" s="27">
        <v>200000</v>
      </c>
      <c r="AE61" s="27"/>
      <c r="AF61" s="27"/>
      <c r="AG61" s="27"/>
      <c r="AH61" s="27"/>
      <c r="AI61" s="27"/>
      <c r="AJ61" s="27"/>
      <c r="AK61" s="9">
        <f t="shared" si="16"/>
        <v>1263797.6365372981</v>
      </c>
      <c r="AL61" s="9">
        <f t="shared" si="16"/>
        <v>283917.76923076902</v>
      </c>
      <c r="AM61" s="258">
        <f t="shared" si="17"/>
        <v>1547715.4057680671</v>
      </c>
    </row>
    <row r="62" spans="1:41" s="2" customFormat="1" ht="50.25" customHeight="1" x14ac:dyDescent="0.25">
      <c r="A62" s="254"/>
      <c r="B62" s="254">
        <f t="shared" si="18"/>
        <v>2108</v>
      </c>
      <c r="C62" s="254" t="s">
        <v>155</v>
      </c>
      <c r="D62" s="174">
        <v>90000</v>
      </c>
      <c r="E62" s="4"/>
      <c r="F62" s="4"/>
      <c r="G62" s="4">
        <v>745358.87692307692</v>
      </c>
      <c r="H62" s="4"/>
      <c r="I62" s="4"/>
      <c r="J62" s="4"/>
      <c r="K62" s="4">
        <v>321945.21739130432</v>
      </c>
      <c r="L62" s="4"/>
      <c r="M62" s="4">
        <v>262200.25905797101</v>
      </c>
      <c r="N62" s="4"/>
      <c r="O62" s="259">
        <v>150000</v>
      </c>
      <c r="P62" s="259">
        <f>100000-30000</f>
        <v>70000</v>
      </c>
      <c r="Q62" s="27">
        <v>96214.896214896246</v>
      </c>
      <c r="R62" s="27">
        <v>128923</v>
      </c>
      <c r="S62" s="27">
        <v>145803.16239316238</v>
      </c>
      <c r="T62" s="27">
        <f>80886.7142857143+63000</f>
        <v>143886.71428571432</v>
      </c>
      <c r="U62" s="27">
        <v>177073.50462759464</v>
      </c>
      <c r="V62" s="27">
        <f>66555+63000</f>
        <v>129555</v>
      </c>
      <c r="W62" s="4"/>
      <c r="X62" s="4">
        <v>108917.76923076923</v>
      </c>
      <c r="Y62" s="28">
        <v>210000</v>
      </c>
      <c r="Z62" s="4"/>
      <c r="AA62" s="27">
        <f t="shared" si="19"/>
        <v>80428.571428570998</v>
      </c>
      <c r="AB62" s="4"/>
      <c r="AC62" s="4"/>
      <c r="AD62" s="4"/>
      <c r="AE62" s="4"/>
      <c r="AF62" s="4"/>
      <c r="AG62" s="4"/>
      <c r="AH62" s="4"/>
      <c r="AI62" s="4"/>
      <c r="AJ62" s="4"/>
      <c r="AK62" s="9">
        <f t="shared" si="16"/>
        <v>2189024.4880365767</v>
      </c>
      <c r="AL62" s="9">
        <f t="shared" si="16"/>
        <v>581282.48351648357</v>
      </c>
      <c r="AM62" s="258">
        <f t="shared" si="17"/>
        <v>2770306.9715530602</v>
      </c>
    </row>
    <row r="63" spans="1:41" s="2" customFormat="1" ht="42" customHeight="1" x14ac:dyDescent="0.25">
      <c r="A63" s="254"/>
      <c r="B63" s="254">
        <f t="shared" si="18"/>
        <v>2109</v>
      </c>
      <c r="C63" s="254" t="s">
        <v>154</v>
      </c>
      <c r="D63" s="174">
        <v>80000</v>
      </c>
      <c r="E63" s="27"/>
      <c r="F63" s="27"/>
      <c r="G63" s="27">
        <v>828176.52991452988</v>
      </c>
      <c r="H63" s="27"/>
      <c r="I63" s="27"/>
      <c r="J63" s="27"/>
      <c r="K63" s="92">
        <v>321945.21739130432</v>
      </c>
      <c r="L63" s="27"/>
      <c r="M63" s="27">
        <v>262200.25905797101</v>
      </c>
      <c r="N63" s="27"/>
      <c r="O63" s="259">
        <v>150000</v>
      </c>
      <c r="P63" s="259">
        <f>100000-42000</f>
        <v>58000</v>
      </c>
      <c r="Q63" s="27">
        <v>96214.896214896246</v>
      </c>
      <c r="R63" s="27">
        <v>124000</v>
      </c>
      <c r="S63" s="27">
        <v>145803.16239316238</v>
      </c>
      <c r="T63" s="27">
        <v>80886.71428571429</v>
      </c>
      <c r="U63" s="27">
        <v>177073.50462759464</v>
      </c>
      <c r="V63" s="27">
        <v>66555</v>
      </c>
      <c r="W63" s="27"/>
      <c r="X63" s="27">
        <v>108917.76923076923</v>
      </c>
      <c r="Y63" s="260">
        <v>210000</v>
      </c>
      <c r="Z63" s="27"/>
      <c r="AA63" s="27">
        <f t="shared" si="19"/>
        <v>80428.571428570998</v>
      </c>
      <c r="AB63" s="27"/>
      <c r="AC63" s="27"/>
      <c r="AD63" s="27"/>
      <c r="AE63" s="27"/>
      <c r="AF63" s="27"/>
      <c r="AG63" s="27"/>
      <c r="AH63" s="27"/>
      <c r="AI63" s="27"/>
      <c r="AJ63" s="27"/>
      <c r="AK63" s="9">
        <f t="shared" si="16"/>
        <v>2271842.1410280294</v>
      </c>
      <c r="AL63" s="9">
        <f t="shared" si="16"/>
        <v>438359.48351648357</v>
      </c>
      <c r="AM63" s="258">
        <f t="shared" si="17"/>
        <v>2710201.6245445129</v>
      </c>
      <c r="AN63" s="30"/>
      <c r="AO63" s="30"/>
    </row>
    <row r="64" spans="1:41" s="2" customFormat="1" ht="42" customHeight="1" x14ac:dyDescent="0.25">
      <c r="A64" s="254"/>
      <c r="B64" s="254">
        <f t="shared" si="18"/>
        <v>2110</v>
      </c>
      <c r="C64" s="254" t="s">
        <v>158</v>
      </c>
      <c r="D64" s="174">
        <v>73941.505409078891</v>
      </c>
      <c r="E64" s="27"/>
      <c r="F64" s="27"/>
      <c r="G64" s="28">
        <v>745358.87692307692</v>
      </c>
      <c r="H64" s="28"/>
      <c r="I64" s="28"/>
      <c r="J64" s="28"/>
      <c r="K64" s="92">
        <v>321945.21739130432</v>
      </c>
      <c r="L64" s="28"/>
      <c r="M64" s="28">
        <v>262200.25905797101</v>
      </c>
      <c r="N64" s="28"/>
      <c r="O64" s="261">
        <v>150000</v>
      </c>
      <c r="P64" s="259">
        <v>100000</v>
      </c>
      <c r="Q64" s="27">
        <v>28864.468864468865</v>
      </c>
      <c r="R64" s="27">
        <f>150000+46000-80000</f>
        <v>116000</v>
      </c>
      <c r="S64" s="27">
        <v>43740.948717948711</v>
      </c>
      <c r="T64" s="27">
        <v>80886.71428571429</v>
      </c>
      <c r="U64" s="27">
        <v>53122.051388278393</v>
      </c>
      <c r="V64" s="27">
        <v>66555</v>
      </c>
      <c r="W64" s="28"/>
      <c r="X64" s="28">
        <f>108917.769230769-25000</f>
        <v>83917.769230769001</v>
      </c>
      <c r="Y64" s="260">
        <v>210000</v>
      </c>
      <c r="Z64" s="28"/>
      <c r="AA64" s="27">
        <f t="shared" si="19"/>
        <v>80428.571428570998</v>
      </c>
      <c r="AB64" s="28"/>
      <c r="AC64" s="28"/>
      <c r="AD64" s="28"/>
      <c r="AE64" s="28"/>
      <c r="AF64" s="28"/>
      <c r="AG64" s="28"/>
      <c r="AH64" s="28"/>
      <c r="AI64" s="28"/>
      <c r="AJ64" s="28"/>
      <c r="AK64" s="9">
        <f t="shared" si="16"/>
        <v>1895660.3937716191</v>
      </c>
      <c r="AL64" s="9">
        <f t="shared" si="16"/>
        <v>447359.48351648333</v>
      </c>
      <c r="AM64" s="258">
        <f t="shared" si="17"/>
        <v>2343019.8772881022</v>
      </c>
    </row>
    <row r="65" spans="1:41" s="2" customFormat="1" ht="42" customHeight="1" x14ac:dyDescent="0.25">
      <c r="A65" s="254"/>
      <c r="B65" s="254">
        <f t="shared" si="18"/>
        <v>2111</v>
      </c>
      <c r="C65" s="254" t="s">
        <v>157</v>
      </c>
      <c r="D65" s="174">
        <v>91044.104237146996</v>
      </c>
      <c r="E65" s="27"/>
      <c r="F65" s="27"/>
      <c r="G65" s="28">
        <v>2288736.86153846</v>
      </c>
      <c r="H65" s="28"/>
      <c r="I65" s="28"/>
      <c r="J65" s="28"/>
      <c r="K65" s="92">
        <v>321945.21739130432</v>
      </c>
      <c r="L65" s="28"/>
      <c r="M65" s="28">
        <v>262200.25905797101</v>
      </c>
      <c r="N65" s="28"/>
      <c r="O65" s="261">
        <v>150000</v>
      </c>
      <c r="P65" s="259">
        <v>100000</v>
      </c>
      <c r="Q65" s="27">
        <v>28864.468864468865</v>
      </c>
      <c r="R65" s="27"/>
      <c r="S65" s="27">
        <v>87481.897435897423</v>
      </c>
      <c r="T65" s="27">
        <v>161773.42857142858</v>
      </c>
      <c r="U65" s="27">
        <v>106244.10277655679</v>
      </c>
      <c r="V65" s="43">
        <v>133110</v>
      </c>
      <c r="W65" s="28"/>
      <c r="X65" s="28">
        <v>108917.76923076923</v>
      </c>
      <c r="Y65" s="28">
        <v>220000</v>
      </c>
      <c r="Z65" s="28"/>
      <c r="AA65" s="27">
        <f t="shared" si="19"/>
        <v>80428.571428570998</v>
      </c>
      <c r="AB65" s="28"/>
      <c r="AC65" s="28"/>
      <c r="AD65" s="28"/>
      <c r="AE65" s="28"/>
      <c r="AF65" s="28"/>
      <c r="AG65" s="28"/>
      <c r="AH65" s="28"/>
      <c r="AI65" s="28"/>
      <c r="AJ65" s="28"/>
      <c r="AK65" s="9">
        <f t="shared" si="16"/>
        <v>3545901.3784932294</v>
      </c>
      <c r="AL65" s="9">
        <f t="shared" si="16"/>
        <v>503801.19780219783</v>
      </c>
      <c r="AM65" s="258">
        <f t="shared" si="17"/>
        <v>4049702.576295427</v>
      </c>
    </row>
    <row r="66" spans="1:41" s="2" customFormat="1" ht="42" customHeight="1" x14ac:dyDescent="0.25">
      <c r="A66" s="254"/>
      <c r="B66" s="3">
        <f t="shared" si="18"/>
        <v>2112</v>
      </c>
      <c r="C66" s="254" t="s">
        <v>159</v>
      </c>
      <c r="D66" s="174">
        <v>90000</v>
      </c>
      <c r="E66" s="27"/>
      <c r="F66" s="27"/>
      <c r="G66" s="28"/>
      <c r="H66" s="28"/>
      <c r="I66" s="28"/>
      <c r="J66" s="28"/>
      <c r="K66" s="92">
        <v>321945.21739130432</v>
      </c>
      <c r="L66" s="28"/>
      <c r="M66" s="28">
        <v>262200.25905797101</v>
      </c>
      <c r="N66" s="28"/>
      <c r="O66" s="28"/>
      <c r="P66" s="28"/>
      <c r="Q66" s="27">
        <v>57728.93772893773</v>
      </c>
      <c r="R66" s="24"/>
      <c r="S66" s="27">
        <v>43740.948717948711</v>
      </c>
      <c r="T66" s="27">
        <v>80886.71428571429</v>
      </c>
      <c r="U66" s="27">
        <v>53122.051388278393</v>
      </c>
      <c r="V66" s="27">
        <v>66555</v>
      </c>
      <c r="W66" s="28"/>
      <c r="X66" s="28">
        <v>108917.76923076923</v>
      </c>
      <c r="Y66" s="28">
        <v>175000</v>
      </c>
      <c r="Z66" s="28"/>
      <c r="AA66" s="27">
        <f t="shared" si="19"/>
        <v>80428.571428570998</v>
      </c>
      <c r="AB66" s="28"/>
      <c r="AC66" s="28"/>
      <c r="AD66" s="28"/>
      <c r="AE66" s="28"/>
      <c r="AF66" s="28"/>
      <c r="AG66" s="28"/>
      <c r="AH66" s="28"/>
      <c r="AI66" s="28">
        <v>247739.62933471109</v>
      </c>
      <c r="AJ66" s="28"/>
      <c r="AK66" s="9">
        <f t="shared" si="16"/>
        <v>1241905.6150477224</v>
      </c>
      <c r="AL66" s="9">
        <f t="shared" si="16"/>
        <v>256359.48351648351</v>
      </c>
      <c r="AM66" s="258">
        <f t="shared" si="17"/>
        <v>1498265.0985642059</v>
      </c>
    </row>
    <row r="67" spans="1:41" s="2" customFormat="1" ht="42" customHeight="1" x14ac:dyDescent="0.25">
      <c r="A67" s="254"/>
      <c r="B67" s="254">
        <f t="shared" si="18"/>
        <v>2113</v>
      </c>
      <c r="C67" s="254" t="s">
        <v>161</v>
      </c>
      <c r="D67" s="174">
        <v>69860.214839478911</v>
      </c>
      <c r="E67" s="27"/>
      <c r="F67" s="27"/>
      <c r="G67" s="28"/>
      <c r="H67" s="28"/>
      <c r="I67" s="28"/>
      <c r="J67" s="28"/>
      <c r="K67" s="92">
        <v>321945.21739130432</v>
      </c>
      <c r="L67" s="28"/>
      <c r="M67" s="28">
        <v>262200.25905797101</v>
      </c>
      <c r="N67" s="28"/>
      <c r="O67" s="28"/>
      <c r="P67" s="28"/>
      <c r="Q67" s="27">
        <v>28864.468864468865</v>
      </c>
      <c r="R67" s="27"/>
      <c r="S67" s="27">
        <v>43740.948717948711</v>
      </c>
      <c r="T67" s="27">
        <f>80886.7142857143-40000</f>
        <v>40886.714285714304</v>
      </c>
      <c r="U67" s="27">
        <v>53122.051388278393</v>
      </c>
      <c r="V67" s="27">
        <f>66555-40000</f>
        <v>26555</v>
      </c>
      <c r="W67" s="28"/>
      <c r="X67" s="28">
        <f>108917.769230769-1110</f>
        <v>107807.769230769</v>
      </c>
      <c r="Y67" s="28">
        <v>175000</v>
      </c>
      <c r="Z67" s="28"/>
      <c r="AA67" s="27">
        <f t="shared" si="19"/>
        <v>80428.571428570998</v>
      </c>
      <c r="AB67" s="28"/>
      <c r="AC67" s="28"/>
      <c r="AD67" s="28"/>
      <c r="AE67" s="28"/>
      <c r="AF67" s="28"/>
      <c r="AG67" s="28"/>
      <c r="AH67" s="28"/>
      <c r="AI67" s="28">
        <v>247739.62933471109</v>
      </c>
      <c r="AJ67" s="28"/>
      <c r="AK67" s="9">
        <f t="shared" si="16"/>
        <v>1213041.1461832535</v>
      </c>
      <c r="AL67" s="9">
        <f t="shared" si="16"/>
        <v>175249.48351648331</v>
      </c>
      <c r="AM67" s="258">
        <f t="shared" si="17"/>
        <v>1388290.6296997368</v>
      </c>
    </row>
    <row r="68" spans="1:41" s="2" customFormat="1" ht="42" customHeight="1" x14ac:dyDescent="0.25">
      <c r="A68" s="254"/>
      <c r="B68" s="254">
        <f t="shared" si="18"/>
        <v>2114</v>
      </c>
      <c r="C68" s="254" t="s">
        <v>160</v>
      </c>
      <c r="D68" s="174">
        <v>120000</v>
      </c>
      <c r="E68" s="27"/>
      <c r="F68" s="27"/>
      <c r="G68" s="27"/>
      <c r="H68" s="27"/>
      <c r="I68" s="27"/>
      <c r="J68" s="27"/>
      <c r="K68" s="92">
        <v>321945.21739130432</v>
      </c>
      <c r="L68" s="27"/>
      <c r="M68" s="27">
        <v>262200.25905797101</v>
      </c>
      <c r="N68" s="27"/>
      <c r="O68" s="27"/>
      <c r="P68" s="27"/>
      <c r="Q68" s="27">
        <v>28864.468864468865</v>
      </c>
      <c r="R68" s="27"/>
      <c r="S68" s="27">
        <v>43740.948717948711</v>
      </c>
      <c r="T68" s="27">
        <v>80886.71428571429</v>
      </c>
      <c r="U68" s="27">
        <v>53122.051388278393</v>
      </c>
      <c r="V68" s="27">
        <v>66555</v>
      </c>
      <c r="W68" s="27"/>
      <c r="X68" s="27"/>
      <c r="Y68" s="28"/>
      <c r="Z68" s="28"/>
      <c r="AA68" s="27">
        <f t="shared" si="19"/>
        <v>80428.571428570998</v>
      </c>
      <c r="AB68" s="28"/>
      <c r="AC68" s="28"/>
      <c r="AD68" s="28"/>
      <c r="AE68" s="28"/>
      <c r="AF68" s="28"/>
      <c r="AG68" s="28"/>
      <c r="AH68" s="28"/>
      <c r="AI68" s="28">
        <v>247739.62933471109</v>
      </c>
      <c r="AJ68" s="28"/>
      <c r="AK68" s="9">
        <f t="shared" si="16"/>
        <v>1038041.1461832535</v>
      </c>
      <c r="AL68" s="9">
        <f t="shared" si="16"/>
        <v>147441.71428571429</v>
      </c>
      <c r="AM68" s="258">
        <f t="shared" si="17"/>
        <v>1185482.8604689678</v>
      </c>
    </row>
    <row r="69" spans="1:41" s="2" customFormat="1" ht="42" customHeight="1" x14ac:dyDescent="0.25">
      <c r="A69" s="254"/>
      <c r="B69" s="254">
        <f t="shared" si="18"/>
        <v>2115</v>
      </c>
      <c r="C69" s="254" t="s">
        <v>162</v>
      </c>
      <c r="D69" s="174">
        <v>90000</v>
      </c>
      <c r="E69" s="27"/>
      <c r="F69" s="27"/>
      <c r="G69" s="27"/>
      <c r="H69" s="27"/>
      <c r="I69" s="27">
        <v>515780.05128205131</v>
      </c>
      <c r="J69" s="27"/>
      <c r="K69" s="92">
        <v>321945.21739130432</v>
      </c>
      <c r="L69" s="27"/>
      <c r="M69" s="27">
        <v>262200.25905797101</v>
      </c>
      <c r="N69" s="27"/>
      <c r="O69" s="27"/>
      <c r="P69" s="27"/>
      <c r="Q69" s="27">
        <v>28864.468864468865</v>
      </c>
      <c r="R69" s="27"/>
      <c r="S69" s="27">
        <v>43740.948717948711</v>
      </c>
      <c r="T69" s="27">
        <v>80886.71428571429</v>
      </c>
      <c r="U69" s="27">
        <v>53122.051388278393</v>
      </c>
      <c r="V69" s="27">
        <v>66555</v>
      </c>
      <c r="W69" s="27"/>
      <c r="X69" s="27"/>
      <c r="Y69" s="28"/>
      <c r="Z69" s="28"/>
      <c r="AA69" s="27">
        <f t="shared" si="19"/>
        <v>80428.571428570998</v>
      </c>
      <c r="AB69" s="28"/>
      <c r="AC69" s="28"/>
      <c r="AD69" s="28"/>
      <c r="AE69" s="28"/>
      <c r="AF69" s="28"/>
      <c r="AG69" s="28"/>
      <c r="AH69" s="28"/>
      <c r="AI69" s="28">
        <v>247739.62933471109</v>
      </c>
      <c r="AJ69" s="28"/>
      <c r="AK69" s="9">
        <f t="shared" si="16"/>
        <v>1553821.1974653045</v>
      </c>
      <c r="AL69" s="9">
        <f t="shared" si="16"/>
        <v>147441.71428571429</v>
      </c>
      <c r="AM69" s="258">
        <f t="shared" si="17"/>
        <v>1701262.9117510188</v>
      </c>
    </row>
    <row r="70" spans="1:41" s="2" customFormat="1" ht="42" customHeight="1" x14ac:dyDescent="0.25">
      <c r="A70" s="254"/>
      <c r="B70" s="254">
        <f t="shared" si="18"/>
        <v>2116</v>
      </c>
      <c r="C70" s="254" t="s">
        <v>166</v>
      </c>
      <c r="D70" s="174">
        <v>90000</v>
      </c>
      <c r="E70" s="27"/>
      <c r="F70" s="27"/>
      <c r="G70" s="27"/>
      <c r="H70" s="27"/>
      <c r="I70" s="27">
        <v>515780.05128205131</v>
      </c>
      <c r="J70" s="27"/>
      <c r="K70" s="92">
        <v>321945.21739130432</v>
      </c>
      <c r="L70" s="27"/>
      <c r="M70" s="27">
        <v>262200.25905797101</v>
      </c>
      <c r="N70" s="27"/>
      <c r="O70" s="27"/>
      <c r="P70" s="27"/>
      <c r="Q70" s="27">
        <v>57728.93772893773</v>
      </c>
      <c r="R70" s="27"/>
      <c r="S70" s="27">
        <v>87481.897435897423</v>
      </c>
      <c r="T70" s="27">
        <f>161773.428571429-87000</f>
        <v>74773.428571428987</v>
      </c>
      <c r="U70" s="27">
        <v>106244.1</v>
      </c>
      <c r="V70" s="27">
        <f>133110-17000</f>
        <v>116110</v>
      </c>
      <c r="W70" s="27"/>
      <c r="X70" s="27"/>
      <c r="Y70" s="28"/>
      <c r="Z70" s="28"/>
      <c r="AA70" s="27">
        <f t="shared" si="19"/>
        <v>80428.571428570998</v>
      </c>
      <c r="AB70" s="28"/>
      <c r="AC70" s="28"/>
      <c r="AD70" s="28"/>
      <c r="AE70" s="28"/>
      <c r="AF70" s="28"/>
      <c r="AG70" s="28"/>
      <c r="AH70" s="28">
        <v>50000</v>
      </c>
      <c r="AI70" s="28">
        <f>247739.629334711-0.100769231</f>
        <v>247739.52856548</v>
      </c>
      <c r="AJ70" s="28"/>
      <c r="AK70" s="9">
        <f t="shared" si="16"/>
        <v>1679548.5628902128</v>
      </c>
      <c r="AL70" s="9">
        <f t="shared" si="16"/>
        <v>240883.42857142899</v>
      </c>
      <c r="AM70" s="258">
        <f t="shared" si="17"/>
        <v>1920431.9914616416</v>
      </c>
    </row>
    <row r="71" spans="1:41" s="2" customFormat="1" ht="42" customHeight="1" x14ac:dyDescent="0.25">
      <c r="A71" s="254"/>
      <c r="B71" s="254">
        <f t="shared" si="18"/>
        <v>2117</v>
      </c>
      <c r="C71" s="254" t="s">
        <v>168</v>
      </c>
      <c r="D71" s="174">
        <v>80000</v>
      </c>
      <c r="E71" s="27"/>
      <c r="F71" s="27"/>
      <c r="G71" s="27"/>
      <c r="H71" s="27"/>
      <c r="I71" s="27">
        <f>515780.051282051-0.153846154</f>
        <v>515779.89743589703</v>
      </c>
      <c r="J71" s="27"/>
      <c r="K71" s="92">
        <v>321945.21739130432</v>
      </c>
      <c r="L71" s="27"/>
      <c r="M71" s="27">
        <v>262200.25905797101</v>
      </c>
      <c r="N71" s="27"/>
      <c r="O71" s="27"/>
      <c r="P71" s="27"/>
      <c r="Q71" s="27">
        <v>28864.468864468865</v>
      </c>
      <c r="R71" s="27"/>
      <c r="S71" s="27">
        <v>43740.948717948711</v>
      </c>
      <c r="T71" s="27">
        <v>80886.71428571429</v>
      </c>
      <c r="U71" s="27">
        <v>53122.051388278393</v>
      </c>
      <c r="V71" s="27">
        <f>66555-40000</f>
        <v>26555</v>
      </c>
      <c r="W71" s="27"/>
      <c r="X71" s="27"/>
      <c r="Y71" s="28"/>
      <c r="Z71" s="28"/>
      <c r="AA71" s="27">
        <f t="shared" si="19"/>
        <v>80428.571428570998</v>
      </c>
      <c r="AB71" s="28"/>
      <c r="AC71" s="28"/>
      <c r="AD71" s="28"/>
      <c r="AE71" s="28"/>
      <c r="AF71" s="28">
        <v>127139</v>
      </c>
      <c r="AG71" s="28"/>
      <c r="AH71" s="28">
        <v>50000</v>
      </c>
      <c r="AI71" s="28"/>
      <c r="AJ71" s="28"/>
      <c r="AK71" s="9">
        <f t="shared" si="16"/>
        <v>1306081.4142844393</v>
      </c>
      <c r="AL71" s="9">
        <f t="shared" si="16"/>
        <v>284580.71428571432</v>
      </c>
      <c r="AM71" s="258">
        <f t="shared" si="17"/>
        <v>1590662.1285701536</v>
      </c>
    </row>
    <row r="72" spans="1:41" s="2" customFormat="1" ht="42" customHeight="1" x14ac:dyDescent="0.25">
      <c r="A72" s="254"/>
      <c r="B72" s="254">
        <f t="shared" si="18"/>
        <v>2118</v>
      </c>
      <c r="C72" s="254" t="s">
        <v>169</v>
      </c>
      <c r="D72" s="174">
        <v>80000</v>
      </c>
      <c r="E72" s="27"/>
      <c r="F72" s="27"/>
      <c r="G72" s="27"/>
      <c r="H72" s="27"/>
      <c r="I72" s="27"/>
      <c r="J72" s="27"/>
      <c r="K72" s="27">
        <v>321945.21739130432</v>
      </c>
      <c r="L72" s="27"/>
      <c r="M72" s="27">
        <v>262200.25905797101</v>
      </c>
      <c r="N72" s="27"/>
      <c r="O72" s="27"/>
      <c r="P72" s="27"/>
      <c r="Q72" s="27">
        <v>28864.468864468865</v>
      </c>
      <c r="R72" s="27"/>
      <c r="S72" s="27">
        <v>43740.948717948711</v>
      </c>
      <c r="T72" s="27">
        <f>80886.7142857143-40000</f>
        <v>40886.714285714304</v>
      </c>
      <c r="U72" s="27">
        <v>53122.051388278393</v>
      </c>
      <c r="V72" s="27">
        <v>66555</v>
      </c>
      <c r="W72" s="92"/>
      <c r="X72" s="27"/>
      <c r="Y72" s="28"/>
      <c r="Z72" s="28"/>
      <c r="AA72" s="27">
        <f t="shared" si="19"/>
        <v>80428.571428570998</v>
      </c>
      <c r="AB72" s="28"/>
      <c r="AC72" s="28"/>
      <c r="AD72" s="28">
        <v>200000</v>
      </c>
      <c r="AE72" s="28"/>
      <c r="AF72" s="28">
        <v>200000</v>
      </c>
      <c r="AG72" s="28"/>
      <c r="AH72" s="28">
        <v>50000</v>
      </c>
      <c r="AI72" s="28"/>
      <c r="AJ72" s="28"/>
      <c r="AK72" s="9">
        <f t="shared" si="16"/>
        <v>790301.51684854238</v>
      </c>
      <c r="AL72" s="9">
        <f t="shared" si="16"/>
        <v>557441.71428571432</v>
      </c>
      <c r="AM72" s="258">
        <f t="shared" si="17"/>
        <v>1347743.2311342568</v>
      </c>
      <c r="AN72" s="95"/>
      <c r="AO72" s="30"/>
    </row>
    <row r="73" spans="1:41" s="2" customFormat="1" ht="42" customHeight="1" x14ac:dyDescent="0.25">
      <c r="A73" s="254"/>
      <c r="B73" s="254">
        <f t="shared" si="18"/>
        <v>2119</v>
      </c>
      <c r="C73" s="254" t="s">
        <v>170</v>
      </c>
      <c r="D73" s="174">
        <v>120000</v>
      </c>
      <c r="E73" s="27"/>
      <c r="F73" s="27"/>
      <c r="G73" s="27"/>
      <c r="H73" s="27"/>
      <c r="I73" s="27"/>
      <c r="J73" s="27"/>
      <c r="K73" s="27">
        <v>321945.21739130432</v>
      </c>
      <c r="L73" s="27"/>
      <c r="M73" s="27">
        <v>262200.25905797101</v>
      </c>
      <c r="N73" s="27"/>
      <c r="O73" s="27"/>
      <c r="P73" s="27"/>
      <c r="Q73" s="27">
        <v>28864.468864468865</v>
      </c>
      <c r="R73" s="27"/>
      <c r="S73" s="27">
        <v>43740.948717948711</v>
      </c>
      <c r="T73" s="27">
        <f>80886.7142857143-81199</f>
        <v>-312.28571428569558</v>
      </c>
      <c r="U73" s="27">
        <v>53122.051388278393</v>
      </c>
      <c r="V73" s="27">
        <v>66555</v>
      </c>
      <c r="W73" s="92"/>
      <c r="X73" s="27"/>
      <c r="Y73" s="28"/>
      <c r="Z73" s="28"/>
      <c r="AA73" s="27">
        <f t="shared" si="19"/>
        <v>80428.571428570998</v>
      </c>
      <c r="AB73" s="28"/>
      <c r="AC73" s="28"/>
      <c r="AD73" s="28">
        <v>265000</v>
      </c>
      <c r="AE73" s="28"/>
      <c r="AF73" s="28"/>
      <c r="AG73" s="28"/>
      <c r="AH73" s="28">
        <v>50000</v>
      </c>
      <c r="AI73" s="28"/>
      <c r="AJ73" s="28"/>
      <c r="AK73" s="9">
        <f t="shared" si="16"/>
        <v>790301.51684854238</v>
      </c>
      <c r="AL73" s="9">
        <f t="shared" si="16"/>
        <v>381242.71428571432</v>
      </c>
      <c r="AM73" s="258">
        <f t="shared" si="17"/>
        <v>1171544.2311342568</v>
      </c>
    </row>
    <row r="74" spans="1:41" s="2" customFormat="1" ht="42" customHeight="1" x14ac:dyDescent="0.25">
      <c r="A74" s="254"/>
      <c r="B74" s="254">
        <f t="shared" si="18"/>
        <v>2120</v>
      </c>
      <c r="C74" s="254" t="s">
        <v>171</v>
      </c>
      <c r="D74" s="174">
        <v>200000</v>
      </c>
      <c r="E74" s="27"/>
      <c r="F74" s="27"/>
      <c r="G74" s="27"/>
      <c r="H74" s="27"/>
      <c r="I74" s="27"/>
      <c r="J74" s="27"/>
      <c r="K74" s="27">
        <v>321945.21739130432</v>
      </c>
      <c r="L74" s="27"/>
      <c r="M74" s="27">
        <v>262200.25905797101</v>
      </c>
      <c r="N74" s="27"/>
      <c r="O74" s="27"/>
      <c r="P74" s="27"/>
      <c r="Q74" s="27">
        <v>28864.468864468865</v>
      </c>
      <c r="R74" s="27"/>
      <c r="S74" s="27">
        <v>43740.948717948711</v>
      </c>
      <c r="T74" s="27">
        <v>80886.714285714304</v>
      </c>
      <c r="U74" s="27">
        <v>53122.051388278393</v>
      </c>
      <c r="V74" s="27">
        <v>66555</v>
      </c>
      <c r="W74" s="92"/>
      <c r="X74" s="27"/>
      <c r="Y74" s="28"/>
      <c r="Z74" s="28"/>
      <c r="AA74" s="27">
        <f t="shared" si="19"/>
        <v>80428.571428570998</v>
      </c>
      <c r="AB74" s="28"/>
      <c r="AC74" s="28"/>
      <c r="AD74" s="28"/>
      <c r="AE74" s="28"/>
      <c r="AF74" s="28"/>
      <c r="AG74" s="28"/>
      <c r="AH74" s="28"/>
      <c r="AI74" s="28"/>
      <c r="AJ74" s="28"/>
      <c r="AK74" s="9">
        <f t="shared" si="16"/>
        <v>790301.51684854238</v>
      </c>
      <c r="AL74" s="9">
        <f t="shared" si="16"/>
        <v>147441.71428571432</v>
      </c>
      <c r="AM74" s="258">
        <f t="shared" si="17"/>
        <v>937743.2311342567</v>
      </c>
    </row>
    <row r="75" spans="1:41" s="2" customFormat="1" ht="42" customHeight="1" x14ac:dyDescent="0.25">
      <c r="A75" s="254"/>
      <c r="B75" s="254">
        <f t="shared" si="18"/>
        <v>2121</v>
      </c>
      <c r="C75" s="254" t="s">
        <v>172</v>
      </c>
      <c r="D75" s="174">
        <v>150000</v>
      </c>
      <c r="E75" s="27"/>
      <c r="F75" s="27"/>
      <c r="G75" s="27"/>
      <c r="H75" s="27"/>
      <c r="I75" s="27"/>
      <c r="J75" s="27"/>
      <c r="K75" s="27">
        <v>321945.21739130432</v>
      </c>
      <c r="L75" s="27"/>
      <c r="M75" s="27">
        <v>262200.25905797101</v>
      </c>
      <c r="N75" s="27"/>
      <c r="O75" s="27"/>
      <c r="P75" s="27"/>
      <c r="Q75" s="27">
        <v>28864.468864468865</v>
      </c>
      <c r="R75" s="27"/>
      <c r="S75" s="27">
        <v>43740.948717948711</v>
      </c>
      <c r="T75" s="27">
        <v>80886.71428571429</v>
      </c>
      <c r="U75" s="27">
        <v>53122.051388278393</v>
      </c>
      <c r="V75" s="27">
        <v>66555</v>
      </c>
      <c r="W75" s="92"/>
      <c r="X75" s="27"/>
      <c r="Y75" s="28"/>
      <c r="Z75" s="28"/>
      <c r="AA75" s="27">
        <f t="shared" si="19"/>
        <v>80428.571428570998</v>
      </c>
      <c r="AB75" s="28"/>
      <c r="AC75" s="28"/>
      <c r="AD75" s="28"/>
      <c r="AE75" s="28"/>
      <c r="AF75" s="28"/>
      <c r="AG75" s="28"/>
      <c r="AH75" s="28"/>
      <c r="AI75" s="28"/>
      <c r="AJ75" s="28"/>
      <c r="AK75" s="9">
        <f t="shared" si="16"/>
        <v>790301.51684854238</v>
      </c>
      <c r="AL75" s="9">
        <f t="shared" si="16"/>
        <v>147441.71428571429</v>
      </c>
      <c r="AM75" s="258">
        <f t="shared" si="17"/>
        <v>937743.2311342567</v>
      </c>
    </row>
    <row r="76" spans="1:41" s="2" customFormat="1" ht="70.5" customHeight="1" x14ac:dyDescent="0.25">
      <c r="A76" s="254"/>
      <c r="B76" s="254">
        <f t="shared" si="18"/>
        <v>2122</v>
      </c>
      <c r="C76" s="254" t="s">
        <v>174</v>
      </c>
      <c r="D76" s="174">
        <v>100000</v>
      </c>
      <c r="E76" s="27"/>
      <c r="F76" s="27"/>
      <c r="G76" s="27"/>
      <c r="H76" s="27"/>
      <c r="I76" s="27"/>
      <c r="J76" s="27"/>
      <c r="K76" s="27">
        <v>321945.21739130432</v>
      </c>
      <c r="L76" s="27"/>
      <c r="M76" s="27">
        <v>262200.25905797101</v>
      </c>
      <c r="N76" s="27"/>
      <c r="O76" s="27"/>
      <c r="P76" s="27"/>
      <c r="Q76" s="27">
        <v>28864.468864468865</v>
      </c>
      <c r="R76" s="27"/>
      <c r="S76" s="27">
        <v>43740.948717948711</v>
      </c>
      <c r="T76" s="27">
        <v>80886.71428571429</v>
      </c>
      <c r="U76" s="27">
        <v>53122.051388278393</v>
      </c>
      <c r="V76" s="27">
        <v>66555</v>
      </c>
      <c r="W76" s="92"/>
      <c r="X76" s="27"/>
      <c r="Y76" s="28"/>
      <c r="Z76" s="28"/>
      <c r="AA76" s="27">
        <f t="shared" si="19"/>
        <v>80428.571428570998</v>
      </c>
      <c r="AB76" s="28"/>
      <c r="AC76" s="28"/>
      <c r="AD76" s="28"/>
      <c r="AE76" s="28"/>
      <c r="AF76" s="28"/>
      <c r="AG76" s="28"/>
      <c r="AH76" s="28"/>
      <c r="AI76" s="28"/>
      <c r="AJ76" s="28"/>
      <c r="AK76" s="9">
        <f t="shared" si="16"/>
        <v>790301.51684854238</v>
      </c>
      <c r="AL76" s="9">
        <f t="shared" si="16"/>
        <v>147441.71428571429</v>
      </c>
      <c r="AM76" s="258">
        <f t="shared" si="17"/>
        <v>937743.2311342567</v>
      </c>
    </row>
    <row r="77" spans="1:41" s="2" customFormat="1" ht="53.25" customHeight="1" x14ac:dyDescent="0.25">
      <c r="A77" s="254"/>
      <c r="B77" s="254">
        <f t="shared" si="18"/>
        <v>2123</v>
      </c>
      <c r="C77" s="254" t="s">
        <v>175</v>
      </c>
      <c r="D77" s="174">
        <v>200000</v>
      </c>
      <c r="E77" s="27"/>
      <c r="F77" s="27"/>
      <c r="G77" s="27"/>
      <c r="H77" s="27"/>
      <c r="I77" s="27"/>
      <c r="J77" s="27"/>
      <c r="K77" s="27">
        <v>321945.21739130432</v>
      </c>
      <c r="L77" s="27"/>
      <c r="M77" s="27">
        <f>262200.259057971+0.041666668</f>
        <v>262200.30072463903</v>
      </c>
      <c r="N77" s="27"/>
      <c r="O77" s="27"/>
      <c r="P77" s="27"/>
      <c r="Q77" s="27">
        <v>28864.468864468865</v>
      </c>
      <c r="R77" s="27"/>
      <c r="S77" s="27">
        <v>43740.948717948711</v>
      </c>
      <c r="T77" s="27">
        <v>80886.71428571429</v>
      </c>
      <c r="U77" s="27">
        <v>53122.051388278393</v>
      </c>
      <c r="V77" s="27">
        <v>66555</v>
      </c>
      <c r="W77" s="92"/>
      <c r="X77" s="27"/>
      <c r="Y77" s="28"/>
      <c r="Z77" s="28"/>
      <c r="AA77" s="27">
        <f t="shared" si="19"/>
        <v>80428.571428570998</v>
      </c>
      <c r="AB77" s="28"/>
      <c r="AC77" s="28"/>
      <c r="AD77" s="28"/>
      <c r="AE77" s="28"/>
      <c r="AF77" s="28"/>
      <c r="AG77" s="28"/>
      <c r="AH77" s="28"/>
      <c r="AI77" s="28"/>
      <c r="AJ77" s="28"/>
      <c r="AK77" s="9">
        <f t="shared" si="16"/>
        <v>790301.55851521029</v>
      </c>
      <c r="AL77" s="9">
        <f t="shared" si="16"/>
        <v>147441.71428571429</v>
      </c>
      <c r="AM77" s="258">
        <f t="shared" si="17"/>
        <v>937743.27280092461</v>
      </c>
    </row>
    <row r="78" spans="1:41" s="2" customFormat="1" ht="50.25" customHeight="1" x14ac:dyDescent="0.25">
      <c r="A78" s="254"/>
      <c r="B78" s="254">
        <f t="shared" si="18"/>
        <v>2124</v>
      </c>
      <c r="C78" s="254" t="s">
        <v>179</v>
      </c>
      <c r="D78" s="174">
        <v>141889</v>
      </c>
      <c r="E78" s="27">
        <v>134239.8606060606</v>
      </c>
      <c r="F78" s="27"/>
      <c r="G78" s="27"/>
      <c r="H78" s="27"/>
      <c r="I78" s="27"/>
      <c r="J78" s="27"/>
      <c r="K78" s="27"/>
      <c r="L78" s="27"/>
      <c r="M78" s="27"/>
      <c r="N78" s="27"/>
      <c r="O78" s="27"/>
      <c r="P78" s="27"/>
      <c r="Q78" s="24">
        <v>28864.468864468865</v>
      </c>
      <c r="R78" s="24"/>
      <c r="S78" s="24">
        <v>43740.948717948711</v>
      </c>
      <c r="T78" s="24">
        <v>80886.71428571429</v>
      </c>
      <c r="U78" s="24">
        <v>53122.051388278393</v>
      </c>
      <c r="V78" s="24">
        <v>66555</v>
      </c>
      <c r="W78" s="92"/>
      <c r="X78" s="27"/>
      <c r="Y78" s="28"/>
      <c r="Z78" s="28"/>
      <c r="AA78" s="27">
        <f t="shared" si="19"/>
        <v>80428.571428570998</v>
      </c>
      <c r="AB78" s="28"/>
      <c r="AC78" s="28"/>
      <c r="AD78" s="28"/>
      <c r="AE78" s="28"/>
      <c r="AF78" s="28"/>
      <c r="AG78" s="28"/>
      <c r="AH78" s="28"/>
      <c r="AI78" s="28"/>
      <c r="AJ78" s="28"/>
      <c r="AK78" s="9">
        <f t="shared" si="16"/>
        <v>340395.90100532759</v>
      </c>
      <c r="AL78" s="9">
        <f t="shared" si="16"/>
        <v>147441.71428571429</v>
      </c>
      <c r="AM78" s="258">
        <f t="shared" si="17"/>
        <v>487837.6152910419</v>
      </c>
    </row>
    <row r="79" spans="1:41" s="2" customFormat="1" ht="42" customHeight="1" x14ac:dyDescent="0.25">
      <c r="A79" s="254"/>
      <c r="B79" s="254">
        <f t="shared" si="18"/>
        <v>2125</v>
      </c>
      <c r="C79" s="254" t="s">
        <v>177</v>
      </c>
      <c r="D79" s="174">
        <v>60000</v>
      </c>
      <c r="E79" s="27">
        <v>134239.8606060606</v>
      </c>
      <c r="F79" s="27"/>
      <c r="G79" s="27"/>
      <c r="H79" s="27"/>
      <c r="I79" s="27"/>
      <c r="J79" s="27"/>
      <c r="K79" s="27"/>
      <c r="L79" s="27"/>
      <c r="M79" s="27"/>
      <c r="N79" s="27"/>
      <c r="O79" s="27"/>
      <c r="P79" s="27"/>
      <c r="Q79" s="24">
        <v>28864.468864468865</v>
      </c>
      <c r="R79" s="24"/>
      <c r="S79" s="24">
        <v>43740.948717948711</v>
      </c>
      <c r="T79" s="24">
        <v>98773.42857142858</v>
      </c>
      <c r="U79" s="24">
        <v>53122.051388278393</v>
      </c>
      <c r="V79" s="24">
        <v>70110</v>
      </c>
      <c r="W79" s="92"/>
      <c r="X79" s="27"/>
      <c r="Y79" s="28"/>
      <c r="Z79" s="28"/>
      <c r="AA79" s="27">
        <f t="shared" si="19"/>
        <v>80428.571428570998</v>
      </c>
      <c r="AB79" s="28"/>
      <c r="AC79" s="28"/>
      <c r="AD79" s="28"/>
      <c r="AE79" s="28"/>
      <c r="AF79" s="28"/>
      <c r="AG79" s="28"/>
      <c r="AH79" s="28"/>
      <c r="AI79" s="28"/>
      <c r="AJ79" s="28"/>
      <c r="AK79" s="9">
        <f t="shared" si="16"/>
        <v>340395.90100532759</v>
      </c>
      <c r="AL79" s="9">
        <f t="shared" si="16"/>
        <v>168883.42857142858</v>
      </c>
      <c r="AM79" s="258">
        <f t="shared" si="17"/>
        <v>509279.32957675616</v>
      </c>
    </row>
    <row r="80" spans="1:41" s="2" customFormat="1" ht="42" customHeight="1" x14ac:dyDescent="0.25">
      <c r="A80" s="254"/>
      <c r="B80" s="254">
        <f t="shared" si="18"/>
        <v>2126</v>
      </c>
      <c r="C80" s="254" t="s">
        <v>180</v>
      </c>
      <c r="D80" s="174">
        <v>40000</v>
      </c>
      <c r="E80" s="27">
        <v>134239.8606060606</v>
      </c>
      <c r="F80" s="27"/>
      <c r="G80" s="27"/>
      <c r="H80" s="126"/>
      <c r="I80" s="27"/>
      <c r="J80" s="126"/>
      <c r="K80" s="27"/>
      <c r="L80" s="27"/>
      <c r="M80" s="27"/>
      <c r="N80" s="27"/>
      <c r="O80" s="27"/>
      <c r="P80" s="27"/>
      <c r="Q80" s="24">
        <f>28864.4688644689+0.307692308</f>
        <v>28864.776556776902</v>
      </c>
      <c r="R80" s="24"/>
      <c r="S80" s="24">
        <f>43740.9487179487+0.153846154</f>
        <v>43741.102564102694</v>
      </c>
      <c r="T80" s="24"/>
      <c r="U80" s="24">
        <f>53122.0513882784-0.155531136</f>
        <v>53121.895857142401</v>
      </c>
      <c r="V80" s="24"/>
      <c r="W80" s="92"/>
      <c r="X80" s="27"/>
      <c r="Y80" s="28"/>
      <c r="Z80" s="28"/>
      <c r="AA80" s="27">
        <f t="shared" si="19"/>
        <v>80428.571428570998</v>
      </c>
      <c r="AB80" s="28"/>
      <c r="AC80" s="28"/>
      <c r="AD80" s="28"/>
      <c r="AE80" s="28"/>
      <c r="AF80" s="28"/>
      <c r="AG80" s="28"/>
      <c r="AH80" s="28"/>
      <c r="AI80" s="28"/>
      <c r="AJ80" s="28"/>
      <c r="AK80" s="9">
        <f t="shared" si="16"/>
        <v>340396.20701265358</v>
      </c>
      <c r="AL80" s="9">
        <f t="shared" si="16"/>
        <v>0</v>
      </c>
      <c r="AM80" s="258">
        <f t="shared" si="17"/>
        <v>340396.20701265358</v>
      </c>
    </row>
    <row r="81" spans="1:41" s="2" customFormat="1" ht="42" customHeight="1" x14ac:dyDescent="0.25">
      <c r="A81" s="254"/>
      <c r="B81" s="254">
        <f t="shared" si="18"/>
        <v>2127</v>
      </c>
      <c r="C81" s="254" t="s">
        <v>183</v>
      </c>
      <c r="D81" s="174">
        <v>75000</v>
      </c>
      <c r="E81" s="27">
        <v>134239.8606060606</v>
      </c>
      <c r="F81" s="27"/>
      <c r="G81" s="27"/>
      <c r="H81" s="27"/>
      <c r="I81" s="27"/>
      <c r="J81" s="27"/>
      <c r="K81" s="27"/>
      <c r="L81" s="27"/>
      <c r="M81" s="27"/>
      <c r="N81" s="27"/>
      <c r="O81" s="27"/>
      <c r="P81" s="27"/>
      <c r="Q81" s="27"/>
      <c r="R81" s="27"/>
      <c r="S81" s="27"/>
      <c r="T81" s="27"/>
      <c r="U81" s="27"/>
      <c r="V81" s="27"/>
      <c r="W81" s="92"/>
      <c r="X81" s="27"/>
      <c r="Y81" s="28"/>
      <c r="Z81" s="28"/>
      <c r="AA81" s="27">
        <f t="shared" si="19"/>
        <v>80428.571428570998</v>
      </c>
      <c r="AB81" s="28"/>
      <c r="AC81" s="28"/>
      <c r="AD81" s="28"/>
      <c r="AE81" s="28"/>
      <c r="AF81" s="28"/>
      <c r="AG81" s="28"/>
      <c r="AH81" s="28"/>
      <c r="AI81" s="28"/>
      <c r="AJ81" s="28"/>
      <c r="AK81" s="9">
        <f t="shared" si="16"/>
        <v>214668.43203463161</v>
      </c>
      <c r="AL81" s="9">
        <f t="shared" si="16"/>
        <v>0</v>
      </c>
      <c r="AM81" s="258">
        <f t="shared" si="17"/>
        <v>214668.43203463161</v>
      </c>
    </row>
    <row r="82" spans="1:41" s="2" customFormat="1" ht="42" customHeight="1" x14ac:dyDescent="0.25">
      <c r="A82" s="254"/>
      <c r="B82" s="254">
        <f t="shared" si="18"/>
        <v>2128</v>
      </c>
      <c r="C82" s="254" t="s">
        <v>184</v>
      </c>
      <c r="D82" s="174">
        <v>80000</v>
      </c>
      <c r="E82" s="27">
        <f>134239.860606061+0.090909091</f>
        <v>134239.951515152</v>
      </c>
      <c r="F82" s="27"/>
      <c r="G82" s="27"/>
      <c r="H82" s="27"/>
      <c r="I82" s="27"/>
      <c r="J82" s="27"/>
      <c r="K82" s="27"/>
      <c r="L82" s="27"/>
      <c r="M82" s="27"/>
      <c r="N82" s="27"/>
      <c r="O82" s="27"/>
      <c r="P82" s="27"/>
      <c r="Q82" s="27"/>
      <c r="R82" s="27"/>
      <c r="S82" s="27"/>
      <c r="T82" s="27"/>
      <c r="U82" s="27"/>
      <c r="V82" s="27"/>
      <c r="W82" s="92"/>
      <c r="X82" s="27"/>
      <c r="Y82" s="28"/>
      <c r="Z82" s="28"/>
      <c r="AA82" s="27">
        <f>121428.571428571-41000-10082</f>
        <v>70346.571428570998</v>
      </c>
      <c r="AB82" s="28"/>
      <c r="AC82" s="28"/>
      <c r="AD82" s="28"/>
      <c r="AE82" s="28"/>
      <c r="AF82" s="28"/>
      <c r="AG82" s="28"/>
      <c r="AH82" s="28"/>
      <c r="AI82" s="28"/>
      <c r="AJ82" s="28"/>
      <c r="AK82" s="9">
        <f t="shared" si="16"/>
        <v>204586.52294372302</v>
      </c>
      <c r="AL82" s="9">
        <f t="shared" si="16"/>
        <v>0</v>
      </c>
      <c r="AM82" s="258">
        <f t="shared" si="17"/>
        <v>204586.52294372302</v>
      </c>
    </row>
    <row r="83" spans="1:41" s="2" customFormat="1" ht="15" x14ac:dyDescent="0.25">
      <c r="A83" s="254"/>
      <c r="B83" s="254"/>
      <c r="C83" s="254"/>
      <c r="D83" s="174"/>
      <c r="E83" s="27"/>
      <c r="F83" s="27"/>
      <c r="G83" s="27"/>
      <c r="H83" s="27"/>
      <c r="I83" s="27"/>
      <c r="J83" s="27"/>
      <c r="K83" s="27"/>
      <c r="L83" s="27"/>
      <c r="M83" s="27"/>
      <c r="N83" s="27"/>
      <c r="O83" s="27"/>
      <c r="P83" s="27"/>
      <c r="Q83" s="27"/>
      <c r="R83" s="27"/>
      <c r="S83" s="27"/>
      <c r="T83" s="27"/>
      <c r="U83" s="27"/>
      <c r="V83" s="27"/>
      <c r="W83" s="92"/>
      <c r="X83" s="27"/>
      <c r="Y83" s="28"/>
      <c r="Z83" s="28"/>
      <c r="AA83" s="28"/>
      <c r="AB83" s="28"/>
      <c r="AC83" s="28"/>
      <c r="AD83" s="28"/>
      <c r="AE83" s="28"/>
      <c r="AF83" s="28"/>
      <c r="AG83" s="28"/>
      <c r="AH83" s="28"/>
      <c r="AI83" s="28"/>
      <c r="AJ83" s="28"/>
      <c r="AK83" s="24"/>
      <c r="AL83" s="24"/>
      <c r="AM83" s="17"/>
    </row>
    <row r="84" spans="1:41" s="2" customFormat="1" ht="15" x14ac:dyDescent="0.25">
      <c r="A84" s="254"/>
      <c r="B84" s="11">
        <v>2199</v>
      </c>
      <c r="C84" s="11" t="s">
        <v>10</v>
      </c>
      <c r="D84" s="228">
        <f>SUM(D55:D82)</f>
        <v>2756734.8244857048</v>
      </c>
      <c r="E84" s="228">
        <f t="shared" ref="E84:AM84" si="20">SUM(E55:E82)</f>
        <v>2013598.0000000005</v>
      </c>
      <c r="F84" s="228">
        <f t="shared" si="20"/>
        <v>0</v>
      </c>
      <c r="G84" s="228">
        <f t="shared" si="20"/>
        <v>5123161.9999999981</v>
      </c>
      <c r="H84" s="228">
        <f t="shared" si="20"/>
        <v>0</v>
      </c>
      <c r="I84" s="228">
        <f t="shared" si="20"/>
        <v>1547339.9999999995</v>
      </c>
      <c r="J84" s="228">
        <f t="shared" si="20"/>
        <v>0</v>
      </c>
      <c r="K84" s="228">
        <f t="shared" si="20"/>
        <v>7404740.0000000019</v>
      </c>
      <c r="L84" s="228">
        <f t="shared" si="20"/>
        <v>0</v>
      </c>
      <c r="M84" s="228">
        <f t="shared" si="20"/>
        <v>6030606</v>
      </c>
      <c r="N84" s="228">
        <f t="shared" si="20"/>
        <v>0</v>
      </c>
      <c r="O84" s="228">
        <f t="shared" si="20"/>
        <v>600000</v>
      </c>
      <c r="P84" s="228">
        <f t="shared" si="20"/>
        <v>328000</v>
      </c>
      <c r="Q84" s="228">
        <f t="shared" si="20"/>
        <v>1212308.0000000002</v>
      </c>
      <c r="R84" s="228">
        <f t="shared" si="20"/>
        <v>368923</v>
      </c>
      <c r="S84" s="228">
        <f t="shared" si="20"/>
        <v>1837120.0000000005</v>
      </c>
      <c r="T84" s="228">
        <f t="shared" si="20"/>
        <v>1450422.0000000009</v>
      </c>
      <c r="U84" s="228">
        <f t="shared" si="20"/>
        <v>2231125.9999999995</v>
      </c>
      <c r="V84" s="228">
        <f t="shared" si="20"/>
        <v>1300655</v>
      </c>
      <c r="W84" s="228">
        <f t="shared" si="20"/>
        <v>0</v>
      </c>
      <c r="X84" s="228">
        <f t="shared" si="20"/>
        <v>1314820.9999999988</v>
      </c>
      <c r="Y84" s="228">
        <f t="shared" si="20"/>
        <v>1200000</v>
      </c>
      <c r="Z84" s="228">
        <f t="shared" si="20"/>
        <v>0</v>
      </c>
      <c r="AA84" s="228">
        <f t="shared" si="20"/>
        <v>2241917.9999999865</v>
      </c>
      <c r="AB84" s="228">
        <f t="shared" si="20"/>
        <v>0</v>
      </c>
      <c r="AC84" s="228">
        <f t="shared" si="20"/>
        <v>0</v>
      </c>
      <c r="AD84" s="228">
        <f t="shared" si="20"/>
        <v>685000</v>
      </c>
      <c r="AE84" s="228">
        <f t="shared" si="20"/>
        <v>0</v>
      </c>
      <c r="AF84" s="228">
        <f t="shared" si="20"/>
        <v>327139</v>
      </c>
      <c r="AG84" s="228">
        <f t="shared" si="20"/>
        <v>0</v>
      </c>
      <c r="AH84" s="228">
        <f t="shared" si="20"/>
        <v>200000</v>
      </c>
      <c r="AI84" s="228">
        <f t="shared" si="20"/>
        <v>1238698.0459043244</v>
      </c>
      <c r="AJ84" s="228">
        <f t="shared" si="20"/>
        <v>0</v>
      </c>
      <c r="AK84" s="228">
        <f t="shared" si="20"/>
        <v>32680616.045904309</v>
      </c>
      <c r="AL84" s="228">
        <f t="shared" si="20"/>
        <v>5974960.0000000009</v>
      </c>
      <c r="AM84" s="228">
        <f t="shared" si="20"/>
        <v>38655576.045904323</v>
      </c>
    </row>
    <row r="85" spans="1:41" s="2" customFormat="1" ht="25.5" customHeight="1" x14ac:dyDescent="0.25">
      <c r="A85" s="254"/>
      <c r="B85" s="254">
        <v>2200</v>
      </c>
      <c r="C85" s="224" t="s">
        <v>190</v>
      </c>
      <c r="D85" s="174"/>
      <c r="E85" s="27"/>
      <c r="F85" s="27"/>
      <c r="G85" s="27"/>
      <c r="H85" s="27"/>
      <c r="I85" s="27"/>
      <c r="J85" s="27"/>
      <c r="K85" s="27"/>
      <c r="L85" s="27"/>
      <c r="M85" s="27"/>
      <c r="N85" s="27"/>
      <c r="O85" s="27"/>
      <c r="P85" s="27"/>
      <c r="Q85" s="27"/>
      <c r="R85" s="27"/>
      <c r="S85" s="27"/>
      <c r="T85" s="27"/>
      <c r="U85" s="27"/>
      <c r="V85" s="27"/>
      <c r="W85" s="92"/>
      <c r="X85" s="27"/>
      <c r="Y85" s="28"/>
      <c r="Z85" s="28"/>
      <c r="AA85" s="28"/>
      <c r="AB85" s="28"/>
      <c r="AC85" s="28"/>
      <c r="AD85" s="28"/>
      <c r="AE85" s="28"/>
      <c r="AF85" s="28"/>
      <c r="AG85" s="28"/>
      <c r="AH85" s="28"/>
      <c r="AI85" s="28"/>
      <c r="AJ85" s="28"/>
      <c r="AK85" s="24"/>
      <c r="AL85" s="24"/>
      <c r="AM85" s="17"/>
    </row>
    <row r="86" spans="1:41" s="2" customFormat="1" ht="25.5" customHeight="1" x14ac:dyDescent="0.25">
      <c r="A86" s="254"/>
      <c r="B86" s="254">
        <v>2201</v>
      </c>
      <c r="C86" s="254" t="s">
        <v>199</v>
      </c>
      <c r="D86" s="174">
        <v>410000</v>
      </c>
      <c r="E86" s="27"/>
      <c r="F86" s="27"/>
      <c r="G86" s="27"/>
      <c r="H86" s="27"/>
      <c r="I86" s="27"/>
      <c r="J86" s="27"/>
      <c r="K86" s="27"/>
      <c r="L86" s="27"/>
      <c r="M86" s="27"/>
      <c r="N86" s="27"/>
      <c r="O86" s="27"/>
      <c r="P86" s="27"/>
      <c r="Q86" s="27"/>
      <c r="R86" s="27"/>
      <c r="S86" s="27"/>
      <c r="T86" s="27"/>
      <c r="U86" s="27"/>
      <c r="V86" s="27"/>
      <c r="W86" s="92"/>
      <c r="X86" s="27"/>
      <c r="Y86" s="28"/>
      <c r="Z86" s="28"/>
      <c r="AA86" s="28"/>
      <c r="AB86" s="28"/>
      <c r="AC86" s="28"/>
      <c r="AD86" s="28"/>
      <c r="AE86" s="28"/>
      <c r="AF86" s="28"/>
      <c r="AG86" s="28"/>
      <c r="AH86" s="28"/>
      <c r="AI86" s="28"/>
      <c r="AJ86" s="28"/>
      <c r="AK86" s="9">
        <f t="shared" ref="AK86:AL98" si="21">SUM(E86+G86+I86+K86+M86+O86+Q86+S86+U86+W86+Y86+AA86+AC86+AE86+AG86+AI86)</f>
        <v>0</v>
      </c>
      <c r="AL86" s="9">
        <f t="shared" si="21"/>
        <v>0</v>
      </c>
      <c r="AM86" s="258">
        <f t="shared" ref="AM86:AM98" si="22">AK86+AL86</f>
        <v>0</v>
      </c>
    </row>
    <row r="87" spans="1:41" s="2" customFormat="1" ht="25.5" customHeight="1" x14ac:dyDescent="0.25">
      <c r="A87" s="254"/>
      <c r="B87" s="254">
        <v>2202</v>
      </c>
      <c r="C87" s="226" t="s">
        <v>138</v>
      </c>
      <c r="D87" s="174">
        <v>30000</v>
      </c>
      <c r="E87" s="27"/>
      <c r="F87" s="27"/>
      <c r="G87" s="27"/>
      <c r="H87" s="27"/>
      <c r="I87" s="27"/>
      <c r="J87" s="27"/>
      <c r="K87" s="27"/>
      <c r="L87" s="27"/>
      <c r="M87" s="27"/>
      <c r="N87" s="27"/>
      <c r="O87" s="27"/>
      <c r="P87" s="27"/>
      <c r="Q87" s="27"/>
      <c r="R87" s="27"/>
      <c r="S87" s="27"/>
      <c r="T87" s="27"/>
      <c r="U87" s="27"/>
      <c r="V87" s="27"/>
      <c r="W87" s="92"/>
      <c r="X87" s="27"/>
      <c r="Y87" s="28"/>
      <c r="Z87" s="28"/>
      <c r="AA87" s="28"/>
      <c r="AB87" s="28"/>
      <c r="AC87" s="28"/>
      <c r="AD87" s="28"/>
      <c r="AE87" s="28"/>
      <c r="AF87" s="28"/>
      <c r="AG87" s="28"/>
      <c r="AH87" s="28"/>
      <c r="AI87" s="28"/>
      <c r="AJ87" s="28"/>
      <c r="AK87" s="9">
        <f t="shared" si="21"/>
        <v>0</v>
      </c>
      <c r="AL87" s="9">
        <f t="shared" si="21"/>
        <v>0</v>
      </c>
      <c r="AM87" s="258">
        <f t="shared" si="22"/>
        <v>0</v>
      </c>
    </row>
    <row r="88" spans="1:41" s="2" customFormat="1" ht="25.5" customHeight="1" x14ac:dyDescent="0.25">
      <c r="A88" s="254"/>
      <c r="B88" s="254">
        <v>2203</v>
      </c>
      <c r="C88" s="137" t="s">
        <v>165</v>
      </c>
      <c r="D88" s="174">
        <v>135000</v>
      </c>
      <c r="E88" s="27"/>
      <c r="F88" s="27"/>
      <c r="G88" s="27"/>
      <c r="H88" s="27"/>
      <c r="I88" s="27"/>
      <c r="J88" s="27"/>
      <c r="K88" s="27"/>
      <c r="L88" s="27"/>
      <c r="M88" s="27"/>
      <c r="N88" s="27"/>
      <c r="O88" s="27"/>
      <c r="P88" s="27"/>
      <c r="Q88" s="27"/>
      <c r="R88" s="27"/>
      <c r="S88" s="27"/>
      <c r="T88" s="27"/>
      <c r="U88" s="27"/>
      <c r="V88" s="27"/>
      <c r="W88" s="92"/>
      <c r="X88" s="27"/>
      <c r="Y88" s="28"/>
      <c r="Z88" s="28"/>
      <c r="AA88" s="28"/>
      <c r="AB88" s="28"/>
      <c r="AC88" s="28"/>
      <c r="AD88" s="28"/>
      <c r="AE88" s="28"/>
      <c r="AF88" s="28"/>
      <c r="AG88" s="28"/>
      <c r="AH88" s="28"/>
      <c r="AI88" s="28"/>
      <c r="AJ88" s="28"/>
      <c r="AK88" s="9">
        <f t="shared" si="21"/>
        <v>0</v>
      </c>
      <c r="AL88" s="9">
        <f t="shared" si="21"/>
        <v>0</v>
      </c>
      <c r="AM88" s="258">
        <f t="shared" si="22"/>
        <v>0</v>
      </c>
    </row>
    <row r="89" spans="1:41" s="2" customFormat="1" ht="25.5" customHeight="1" x14ac:dyDescent="0.25">
      <c r="A89" s="254"/>
      <c r="B89" s="254">
        <v>2204</v>
      </c>
      <c r="C89" s="137" t="s">
        <v>142</v>
      </c>
      <c r="D89" s="174">
        <v>100000</v>
      </c>
      <c r="E89" s="27"/>
      <c r="F89" s="27"/>
      <c r="G89" s="27"/>
      <c r="H89" s="27"/>
      <c r="I89" s="27"/>
      <c r="J89" s="27"/>
      <c r="K89" s="27"/>
      <c r="L89" s="27"/>
      <c r="M89" s="27"/>
      <c r="N89" s="27"/>
      <c r="O89" s="27"/>
      <c r="P89" s="27"/>
      <c r="Q89" s="27"/>
      <c r="R89" s="27"/>
      <c r="S89" s="27"/>
      <c r="T89" s="27"/>
      <c r="U89" s="27"/>
      <c r="V89" s="27"/>
      <c r="W89" s="92"/>
      <c r="X89" s="27"/>
      <c r="Y89" s="28"/>
      <c r="Z89" s="28"/>
      <c r="AA89" s="28"/>
      <c r="AB89" s="28"/>
      <c r="AC89" s="28"/>
      <c r="AD89" s="28"/>
      <c r="AE89" s="28"/>
      <c r="AF89" s="28"/>
      <c r="AG89" s="28"/>
      <c r="AH89" s="28"/>
      <c r="AI89" s="28"/>
      <c r="AJ89" s="28"/>
      <c r="AK89" s="9">
        <f t="shared" si="21"/>
        <v>0</v>
      </c>
      <c r="AL89" s="9">
        <f t="shared" si="21"/>
        <v>0</v>
      </c>
      <c r="AM89" s="258">
        <f t="shared" si="22"/>
        <v>0</v>
      </c>
    </row>
    <row r="90" spans="1:41" s="2" customFormat="1" ht="25.5" customHeight="1" x14ac:dyDescent="0.25">
      <c r="A90" s="254"/>
      <c r="B90" s="254">
        <v>2205</v>
      </c>
      <c r="C90" s="137" t="s">
        <v>143</v>
      </c>
      <c r="D90" s="174">
        <v>75000</v>
      </c>
      <c r="E90" s="27"/>
      <c r="F90" s="27"/>
      <c r="G90" s="27"/>
      <c r="H90" s="27"/>
      <c r="I90" s="27"/>
      <c r="J90" s="27"/>
      <c r="K90" s="27"/>
      <c r="L90" s="27"/>
      <c r="M90" s="27"/>
      <c r="N90" s="27"/>
      <c r="O90" s="27"/>
      <c r="P90" s="27"/>
      <c r="Q90" s="27"/>
      <c r="R90" s="27"/>
      <c r="S90" s="27"/>
      <c r="T90" s="27"/>
      <c r="U90" s="27"/>
      <c r="V90" s="27"/>
      <c r="W90" s="92"/>
      <c r="X90" s="27"/>
      <c r="Y90" s="28"/>
      <c r="Z90" s="28"/>
      <c r="AA90" s="28"/>
      <c r="AB90" s="28"/>
      <c r="AC90" s="28"/>
      <c r="AD90" s="28"/>
      <c r="AE90" s="28"/>
      <c r="AF90" s="28"/>
      <c r="AG90" s="28"/>
      <c r="AH90" s="28"/>
      <c r="AI90" s="28"/>
      <c r="AJ90" s="28"/>
      <c r="AK90" s="9">
        <f t="shared" si="21"/>
        <v>0</v>
      </c>
      <c r="AL90" s="9">
        <f t="shared" si="21"/>
        <v>0</v>
      </c>
      <c r="AM90" s="258">
        <f t="shared" si="22"/>
        <v>0</v>
      </c>
    </row>
    <row r="91" spans="1:41" s="2" customFormat="1" ht="25.5" customHeight="1" x14ac:dyDescent="0.25">
      <c r="A91" s="254"/>
      <c r="B91" s="254">
        <v>2206</v>
      </c>
      <c r="C91" s="137" t="s">
        <v>150</v>
      </c>
      <c r="D91" s="174">
        <v>230000</v>
      </c>
      <c r="E91" s="27"/>
      <c r="F91" s="27"/>
      <c r="G91" s="27"/>
      <c r="H91" s="27"/>
      <c r="I91" s="27"/>
      <c r="J91" s="27"/>
      <c r="K91" s="27"/>
      <c r="L91" s="27"/>
      <c r="M91" s="27"/>
      <c r="N91" s="27"/>
      <c r="O91" s="27"/>
      <c r="P91" s="27"/>
      <c r="Q91" s="27"/>
      <c r="R91" s="27"/>
      <c r="S91" s="27"/>
      <c r="T91" s="27"/>
      <c r="U91" s="27"/>
      <c r="V91" s="27"/>
      <c r="W91" s="92"/>
      <c r="X91" s="27"/>
      <c r="Y91" s="28"/>
      <c r="Z91" s="28"/>
      <c r="AA91" s="28"/>
      <c r="AB91" s="28"/>
      <c r="AC91" s="28"/>
      <c r="AD91" s="28"/>
      <c r="AE91" s="28"/>
      <c r="AF91" s="28"/>
      <c r="AG91" s="28"/>
      <c r="AH91" s="28"/>
      <c r="AI91" s="28"/>
      <c r="AJ91" s="28"/>
      <c r="AK91" s="9">
        <f t="shared" si="21"/>
        <v>0</v>
      </c>
      <c r="AL91" s="9">
        <f t="shared" si="21"/>
        <v>0</v>
      </c>
      <c r="AM91" s="258">
        <f t="shared" si="22"/>
        <v>0</v>
      </c>
    </row>
    <row r="92" spans="1:41" s="2" customFormat="1" ht="25.5" customHeight="1" x14ac:dyDescent="0.25">
      <c r="A92" s="254"/>
      <c r="B92" s="254">
        <v>2207</v>
      </c>
      <c r="C92" s="137" t="s">
        <v>156</v>
      </c>
      <c r="D92" s="174">
        <v>80000</v>
      </c>
      <c r="E92" s="27"/>
      <c r="F92" s="27"/>
      <c r="G92" s="27"/>
      <c r="H92" s="27"/>
      <c r="I92" s="27"/>
      <c r="J92" s="27"/>
      <c r="K92" s="27"/>
      <c r="L92" s="27"/>
      <c r="M92" s="27"/>
      <c r="N92" s="27"/>
      <c r="O92" s="27"/>
      <c r="P92" s="27"/>
      <c r="Q92" s="27"/>
      <c r="R92" s="27"/>
      <c r="S92" s="27"/>
      <c r="T92" s="27"/>
      <c r="U92" s="27"/>
      <c r="V92" s="27"/>
      <c r="W92" s="92"/>
      <c r="X92" s="27"/>
      <c r="Y92" s="28"/>
      <c r="Z92" s="28"/>
      <c r="AA92" s="28"/>
      <c r="AB92" s="28"/>
      <c r="AC92" s="28"/>
      <c r="AD92" s="28"/>
      <c r="AE92" s="28"/>
      <c r="AF92" s="28"/>
      <c r="AG92" s="28"/>
      <c r="AH92" s="28"/>
      <c r="AI92" s="28"/>
      <c r="AJ92" s="28"/>
      <c r="AK92" s="9">
        <f t="shared" si="21"/>
        <v>0</v>
      </c>
      <c r="AL92" s="9">
        <f t="shared" si="21"/>
        <v>0</v>
      </c>
      <c r="AM92" s="258">
        <f t="shared" si="22"/>
        <v>0</v>
      </c>
    </row>
    <row r="93" spans="1:41" s="2" customFormat="1" ht="25.5" customHeight="1" x14ac:dyDescent="0.25">
      <c r="A93" s="254"/>
      <c r="B93" s="254">
        <v>2208</v>
      </c>
      <c r="C93" s="137" t="s">
        <v>164</v>
      </c>
      <c r="D93" s="174">
        <v>125000</v>
      </c>
      <c r="E93" s="27"/>
      <c r="F93" s="27"/>
      <c r="G93" s="28"/>
      <c r="H93" s="27"/>
      <c r="I93" s="28"/>
      <c r="J93" s="27"/>
      <c r="K93" s="92"/>
      <c r="L93" s="27"/>
      <c r="M93" s="27"/>
      <c r="N93" s="27"/>
      <c r="O93" s="27"/>
      <c r="P93" s="27"/>
      <c r="Q93" s="27"/>
      <c r="R93" s="27"/>
      <c r="S93" s="27"/>
      <c r="T93" s="27"/>
      <c r="U93" s="27"/>
      <c r="V93" s="27"/>
      <c r="W93" s="27"/>
      <c r="X93" s="27"/>
      <c r="Y93" s="28"/>
      <c r="Z93" s="28"/>
      <c r="AA93" s="28"/>
      <c r="AB93" s="28"/>
      <c r="AC93" s="28"/>
      <c r="AD93" s="28"/>
      <c r="AE93" s="28"/>
      <c r="AF93" s="28"/>
      <c r="AG93" s="28"/>
      <c r="AH93" s="28"/>
      <c r="AI93" s="28"/>
      <c r="AJ93" s="28"/>
      <c r="AK93" s="9">
        <f t="shared" si="21"/>
        <v>0</v>
      </c>
      <c r="AL93" s="9">
        <f t="shared" si="21"/>
        <v>0</v>
      </c>
      <c r="AM93" s="258">
        <f t="shared" si="22"/>
        <v>0</v>
      </c>
      <c r="AN93" s="95"/>
      <c r="AO93" s="30"/>
    </row>
    <row r="94" spans="1:41" s="2" customFormat="1" ht="25.5" customHeight="1" x14ac:dyDescent="0.25">
      <c r="A94" s="254"/>
      <c r="B94" s="254">
        <v>2209</v>
      </c>
      <c r="C94" s="137" t="s">
        <v>163</v>
      </c>
      <c r="D94" s="174">
        <v>50000</v>
      </c>
      <c r="E94" s="27"/>
      <c r="F94" s="27"/>
      <c r="G94" s="28"/>
      <c r="H94" s="27"/>
      <c r="I94" s="28"/>
      <c r="J94" s="27"/>
      <c r="K94" s="92"/>
      <c r="L94" s="27"/>
      <c r="M94" s="27"/>
      <c r="N94" s="27"/>
      <c r="O94" s="27"/>
      <c r="P94" s="27"/>
      <c r="Q94" s="27"/>
      <c r="R94" s="27"/>
      <c r="S94" s="27"/>
      <c r="T94" s="27"/>
      <c r="U94" s="27"/>
      <c r="V94" s="27"/>
      <c r="W94" s="27"/>
      <c r="X94" s="27"/>
      <c r="Y94" s="28"/>
      <c r="Z94" s="28"/>
      <c r="AA94" s="28"/>
      <c r="AB94" s="28"/>
      <c r="AC94" s="28"/>
      <c r="AD94" s="28"/>
      <c r="AE94" s="28"/>
      <c r="AF94" s="28"/>
      <c r="AG94" s="28"/>
      <c r="AH94" s="28"/>
      <c r="AI94" s="28"/>
      <c r="AJ94" s="28"/>
      <c r="AK94" s="9">
        <f t="shared" si="21"/>
        <v>0</v>
      </c>
      <c r="AL94" s="9">
        <f t="shared" si="21"/>
        <v>0</v>
      </c>
      <c r="AM94" s="258">
        <f t="shared" si="22"/>
        <v>0</v>
      </c>
    </row>
    <row r="95" spans="1:41" s="2" customFormat="1" ht="25.5" customHeight="1" x14ac:dyDescent="0.25">
      <c r="A95" s="254"/>
      <c r="B95" s="254">
        <v>2208</v>
      </c>
      <c r="C95" s="137" t="s">
        <v>173</v>
      </c>
      <c r="D95" s="174">
        <v>130000</v>
      </c>
      <c r="E95" s="27"/>
      <c r="F95" s="27"/>
      <c r="G95" s="28"/>
      <c r="H95" s="27"/>
      <c r="I95" s="28"/>
      <c r="J95" s="27"/>
      <c r="K95" s="92"/>
      <c r="L95" s="27"/>
      <c r="M95" s="27"/>
      <c r="N95" s="27"/>
      <c r="O95" s="27"/>
      <c r="P95" s="27"/>
      <c r="Q95" s="27"/>
      <c r="R95" s="27"/>
      <c r="S95" s="27"/>
      <c r="T95" s="27"/>
      <c r="U95" s="27"/>
      <c r="V95" s="27"/>
      <c r="W95" s="27"/>
      <c r="X95" s="27"/>
      <c r="Y95" s="28"/>
      <c r="Z95" s="28"/>
      <c r="AA95" s="28"/>
      <c r="AB95" s="28"/>
      <c r="AC95" s="28"/>
      <c r="AD95" s="28"/>
      <c r="AE95" s="28"/>
      <c r="AF95" s="28"/>
      <c r="AG95" s="28"/>
      <c r="AH95" s="28"/>
      <c r="AI95" s="28"/>
      <c r="AJ95" s="28"/>
      <c r="AK95" s="9">
        <f t="shared" si="21"/>
        <v>0</v>
      </c>
      <c r="AL95" s="9">
        <f t="shared" si="21"/>
        <v>0</v>
      </c>
      <c r="AM95" s="258">
        <f t="shared" si="22"/>
        <v>0</v>
      </c>
      <c r="AO95" s="30"/>
    </row>
    <row r="96" spans="1:41" s="2" customFormat="1" ht="25.5" customHeight="1" x14ac:dyDescent="0.25">
      <c r="A96" s="254"/>
      <c r="B96" s="254">
        <v>2209</v>
      </c>
      <c r="C96" s="137" t="s">
        <v>178</v>
      </c>
      <c r="D96" s="174">
        <v>35000</v>
      </c>
      <c r="E96" s="27"/>
      <c r="F96" s="27"/>
      <c r="G96" s="27"/>
      <c r="H96" s="27"/>
      <c r="I96" s="27"/>
      <c r="J96" s="27"/>
      <c r="K96" s="92"/>
      <c r="L96" s="27"/>
      <c r="M96" s="27"/>
      <c r="N96" s="27"/>
      <c r="O96" s="27"/>
      <c r="P96" s="27"/>
      <c r="Q96" s="27"/>
      <c r="R96" s="27"/>
      <c r="S96" s="27"/>
      <c r="T96" s="27"/>
      <c r="U96" s="27"/>
      <c r="V96" s="27"/>
      <c r="W96" s="27"/>
      <c r="X96" s="27"/>
      <c r="Y96" s="28"/>
      <c r="Z96" s="28"/>
      <c r="AA96" s="28"/>
      <c r="AB96" s="28"/>
      <c r="AC96" s="28"/>
      <c r="AD96" s="28"/>
      <c r="AE96" s="28"/>
      <c r="AF96" s="28"/>
      <c r="AG96" s="28"/>
      <c r="AH96" s="28"/>
      <c r="AI96" s="28"/>
      <c r="AJ96" s="28"/>
      <c r="AK96" s="9">
        <f t="shared" si="21"/>
        <v>0</v>
      </c>
      <c r="AL96" s="9">
        <f t="shared" si="21"/>
        <v>0</v>
      </c>
      <c r="AM96" s="258">
        <f t="shared" si="22"/>
        <v>0</v>
      </c>
    </row>
    <row r="97" spans="1:40" s="2" customFormat="1" ht="25.5" customHeight="1" x14ac:dyDescent="0.25">
      <c r="A97" s="254"/>
      <c r="B97" s="3">
        <v>2210</v>
      </c>
      <c r="C97" s="137" t="s">
        <v>181</v>
      </c>
      <c r="D97" s="174">
        <v>35000</v>
      </c>
      <c r="E97" s="27"/>
      <c r="F97" s="27"/>
      <c r="G97" s="27"/>
      <c r="H97" s="27"/>
      <c r="I97" s="27"/>
      <c r="J97" s="27"/>
      <c r="K97" s="92"/>
      <c r="L97" s="27"/>
      <c r="M97" s="27"/>
      <c r="N97" s="27"/>
      <c r="O97" s="27"/>
      <c r="P97" s="27"/>
      <c r="Q97" s="27"/>
      <c r="R97" s="27"/>
      <c r="S97" s="27"/>
      <c r="T97" s="27"/>
      <c r="U97" s="27"/>
      <c r="V97" s="27"/>
      <c r="W97" s="27"/>
      <c r="X97" s="27"/>
      <c r="Y97" s="28"/>
      <c r="Z97" s="28"/>
      <c r="AA97" s="28"/>
      <c r="AB97" s="28"/>
      <c r="AC97" s="28"/>
      <c r="AD97" s="28"/>
      <c r="AE97" s="28"/>
      <c r="AF97" s="28"/>
      <c r="AG97" s="28"/>
      <c r="AH97" s="28"/>
      <c r="AI97" s="28"/>
      <c r="AJ97" s="28"/>
      <c r="AK97" s="9">
        <f t="shared" si="21"/>
        <v>0</v>
      </c>
      <c r="AL97" s="9">
        <f t="shared" si="21"/>
        <v>0</v>
      </c>
      <c r="AM97" s="258">
        <f t="shared" si="22"/>
        <v>0</v>
      </c>
    </row>
    <row r="98" spans="1:40" s="2" customFormat="1" ht="25.5" customHeight="1" x14ac:dyDescent="0.25">
      <c r="A98" s="254"/>
      <c r="B98" s="254">
        <v>2211</v>
      </c>
      <c r="C98" s="137" t="s">
        <v>182</v>
      </c>
      <c r="D98" s="174">
        <v>45000</v>
      </c>
      <c r="E98" s="27"/>
      <c r="F98" s="27"/>
      <c r="G98" s="27"/>
      <c r="H98" s="27"/>
      <c r="I98" s="27"/>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9">
        <f t="shared" si="21"/>
        <v>0</v>
      </c>
      <c r="AL98" s="9">
        <f t="shared" si="21"/>
        <v>0</v>
      </c>
      <c r="AM98" s="258">
        <f t="shared" si="22"/>
        <v>0</v>
      </c>
    </row>
    <row r="99" spans="1:40" s="2" customFormat="1" ht="15" x14ac:dyDescent="0.25">
      <c r="A99" s="254"/>
      <c r="B99" s="3"/>
      <c r="C99" s="3"/>
      <c r="D99" s="174"/>
      <c r="E99" s="27"/>
      <c r="F99" s="27"/>
      <c r="G99" s="27"/>
      <c r="H99" s="27"/>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4"/>
      <c r="AL99" s="27"/>
      <c r="AM99" s="17"/>
    </row>
    <row r="100" spans="1:40" s="2" customFormat="1" ht="15" x14ac:dyDescent="0.25">
      <c r="A100" s="116"/>
      <c r="B100" s="11">
        <v>2299</v>
      </c>
      <c r="C100" s="11" t="s">
        <v>10</v>
      </c>
      <c r="D100" s="171">
        <f>SUM(D86:D98)</f>
        <v>1480000</v>
      </c>
      <c r="E100" s="171">
        <f t="shared" ref="E100:AM100" si="23">SUM(E86:E98)</f>
        <v>0</v>
      </c>
      <c r="F100" s="171">
        <f t="shared" si="23"/>
        <v>0</v>
      </c>
      <c r="G100" s="171">
        <f t="shared" si="23"/>
        <v>0</v>
      </c>
      <c r="H100" s="171">
        <f t="shared" si="23"/>
        <v>0</v>
      </c>
      <c r="I100" s="171">
        <f t="shared" si="23"/>
        <v>0</v>
      </c>
      <c r="J100" s="171">
        <f t="shared" si="23"/>
        <v>0</v>
      </c>
      <c r="K100" s="171">
        <f t="shared" si="23"/>
        <v>0</v>
      </c>
      <c r="L100" s="171">
        <f t="shared" si="23"/>
        <v>0</v>
      </c>
      <c r="M100" s="171">
        <f t="shared" si="23"/>
        <v>0</v>
      </c>
      <c r="N100" s="171">
        <f t="shared" si="23"/>
        <v>0</v>
      </c>
      <c r="O100" s="171">
        <f t="shared" si="23"/>
        <v>0</v>
      </c>
      <c r="P100" s="171">
        <f t="shared" si="23"/>
        <v>0</v>
      </c>
      <c r="Q100" s="171">
        <f t="shared" si="23"/>
        <v>0</v>
      </c>
      <c r="R100" s="171">
        <f t="shared" si="23"/>
        <v>0</v>
      </c>
      <c r="S100" s="171">
        <f t="shared" si="23"/>
        <v>0</v>
      </c>
      <c r="T100" s="171">
        <f t="shared" si="23"/>
        <v>0</v>
      </c>
      <c r="U100" s="171">
        <f t="shared" si="23"/>
        <v>0</v>
      </c>
      <c r="V100" s="171">
        <f t="shared" si="23"/>
        <v>0</v>
      </c>
      <c r="W100" s="171">
        <f t="shared" si="23"/>
        <v>0</v>
      </c>
      <c r="X100" s="171">
        <f t="shared" si="23"/>
        <v>0</v>
      </c>
      <c r="Y100" s="171">
        <f t="shared" si="23"/>
        <v>0</v>
      </c>
      <c r="Z100" s="171">
        <f t="shared" si="23"/>
        <v>0</v>
      </c>
      <c r="AA100" s="171">
        <f t="shared" si="23"/>
        <v>0</v>
      </c>
      <c r="AB100" s="171">
        <f t="shared" si="23"/>
        <v>0</v>
      </c>
      <c r="AC100" s="171">
        <f t="shared" si="23"/>
        <v>0</v>
      </c>
      <c r="AD100" s="171">
        <f t="shared" si="23"/>
        <v>0</v>
      </c>
      <c r="AE100" s="171">
        <f t="shared" si="23"/>
        <v>0</v>
      </c>
      <c r="AF100" s="171">
        <f t="shared" si="23"/>
        <v>0</v>
      </c>
      <c r="AG100" s="171">
        <f t="shared" si="23"/>
        <v>0</v>
      </c>
      <c r="AH100" s="171">
        <f t="shared" si="23"/>
        <v>0</v>
      </c>
      <c r="AI100" s="171">
        <f t="shared" si="23"/>
        <v>0</v>
      </c>
      <c r="AJ100" s="171">
        <f t="shared" si="23"/>
        <v>0</v>
      </c>
      <c r="AK100" s="171">
        <f t="shared" si="23"/>
        <v>0</v>
      </c>
      <c r="AL100" s="171">
        <f t="shared" si="23"/>
        <v>0</v>
      </c>
      <c r="AM100" s="171">
        <f t="shared" si="23"/>
        <v>0</v>
      </c>
    </row>
    <row r="101" spans="1:40" s="2" customFormat="1" ht="15" x14ac:dyDescent="0.25">
      <c r="A101" s="254"/>
      <c r="B101" s="13">
        <v>2999</v>
      </c>
      <c r="C101" s="13" t="s">
        <v>11</v>
      </c>
      <c r="D101" s="229">
        <f>SUM(D84,D100)</f>
        <v>4236734.8244857043</v>
      </c>
      <c r="E101" s="229">
        <f t="shared" ref="E101:AM101" si="24">SUM(E84,E100)</f>
        <v>2013598.0000000005</v>
      </c>
      <c r="F101" s="229">
        <f t="shared" si="24"/>
        <v>0</v>
      </c>
      <c r="G101" s="229">
        <f t="shared" si="24"/>
        <v>5123161.9999999981</v>
      </c>
      <c r="H101" s="229">
        <f t="shared" si="24"/>
        <v>0</v>
      </c>
      <c r="I101" s="229">
        <f t="shared" si="24"/>
        <v>1547339.9999999995</v>
      </c>
      <c r="J101" s="229">
        <f t="shared" si="24"/>
        <v>0</v>
      </c>
      <c r="K101" s="229">
        <f t="shared" si="24"/>
        <v>7404740.0000000019</v>
      </c>
      <c r="L101" s="229">
        <f t="shared" si="24"/>
        <v>0</v>
      </c>
      <c r="M101" s="229">
        <f t="shared" si="24"/>
        <v>6030606</v>
      </c>
      <c r="N101" s="229">
        <f t="shared" si="24"/>
        <v>0</v>
      </c>
      <c r="O101" s="229">
        <f t="shared" si="24"/>
        <v>600000</v>
      </c>
      <c r="P101" s="229">
        <f t="shared" si="24"/>
        <v>328000</v>
      </c>
      <c r="Q101" s="229">
        <f t="shared" si="24"/>
        <v>1212308.0000000002</v>
      </c>
      <c r="R101" s="229">
        <f t="shared" si="24"/>
        <v>368923</v>
      </c>
      <c r="S101" s="229">
        <f t="shared" si="24"/>
        <v>1837120.0000000005</v>
      </c>
      <c r="T101" s="229">
        <f t="shared" si="24"/>
        <v>1450422.0000000009</v>
      </c>
      <c r="U101" s="229">
        <f t="shared" si="24"/>
        <v>2231125.9999999995</v>
      </c>
      <c r="V101" s="229">
        <f t="shared" si="24"/>
        <v>1300655</v>
      </c>
      <c r="W101" s="229">
        <f t="shared" si="24"/>
        <v>0</v>
      </c>
      <c r="X101" s="229">
        <f t="shared" si="24"/>
        <v>1314820.9999999988</v>
      </c>
      <c r="Y101" s="229">
        <f t="shared" si="24"/>
        <v>1200000</v>
      </c>
      <c r="Z101" s="229">
        <f t="shared" si="24"/>
        <v>0</v>
      </c>
      <c r="AA101" s="229">
        <f t="shared" si="24"/>
        <v>2241917.9999999865</v>
      </c>
      <c r="AB101" s="229">
        <f t="shared" si="24"/>
        <v>0</v>
      </c>
      <c r="AC101" s="229">
        <f t="shared" si="24"/>
        <v>0</v>
      </c>
      <c r="AD101" s="229">
        <f t="shared" si="24"/>
        <v>685000</v>
      </c>
      <c r="AE101" s="229">
        <f t="shared" si="24"/>
        <v>0</v>
      </c>
      <c r="AF101" s="229">
        <f t="shared" si="24"/>
        <v>327139</v>
      </c>
      <c r="AG101" s="229">
        <f t="shared" si="24"/>
        <v>0</v>
      </c>
      <c r="AH101" s="229">
        <f t="shared" si="24"/>
        <v>200000</v>
      </c>
      <c r="AI101" s="229">
        <f t="shared" si="24"/>
        <v>1238698.0459043244</v>
      </c>
      <c r="AJ101" s="229">
        <f t="shared" si="24"/>
        <v>0</v>
      </c>
      <c r="AK101" s="229">
        <f t="shared" si="24"/>
        <v>32680616.045904309</v>
      </c>
      <c r="AL101" s="229">
        <f t="shared" si="24"/>
        <v>5974960.0000000009</v>
      </c>
      <c r="AM101" s="229">
        <f t="shared" si="24"/>
        <v>38655576.045904323</v>
      </c>
    </row>
    <row r="102" spans="1:40" s="2" customFormat="1" ht="15" x14ac:dyDescent="0.25">
      <c r="A102" s="254"/>
      <c r="B102" s="254"/>
      <c r="C102" s="3"/>
      <c r="D102" s="167"/>
      <c r="E102" s="24"/>
      <c r="F102" s="24"/>
      <c r="G102" s="24"/>
      <c r="H102" s="24"/>
      <c r="I102" s="24"/>
      <c r="J102" s="24"/>
      <c r="K102" s="24"/>
      <c r="L102" s="24"/>
      <c r="M102" s="24"/>
      <c r="N102" s="24"/>
      <c r="O102" s="24"/>
      <c r="P102" s="24"/>
      <c r="Q102" s="24"/>
      <c r="R102" s="24"/>
      <c r="S102" s="24"/>
      <c r="T102" s="24"/>
      <c r="U102" s="27"/>
      <c r="V102" s="27"/>
      <c r="W102" s="24"/>
      <c r="X102" s="24"/>
      <c r="Y102" s="27"/>
      <c r="Z102" s="27"/>
      <c r="AA102" s="27"/>
      <c r="AB102" s="27"/>
      <c r="AC102" s="27"/>
      <c r="AD102" s="27"/>
      <c r="AE102" s="27"/>
      <c r="AF102" s="27"/>
      <c r="AG102" s="27"/>
      <c r="AH102" s="27"/>
      <c r="AI102" s="27"/>
      <c r="AJ102" s="27"/>
      <c r="AK102" s="24"/>
      <c r="AL102" s="24"/>
      <c r="AM102" s="17"/>
    </row>
    <row r="103" spans="1:40" s="2" customFormat="1" ht="15" x14ac:dyDescent="0.25">
      <c r="A103" s="254">
        <v>30</v>
      </c>
      <c r="B103" s="291" t="s">
        <v>13</v>
      </c>
      <c r="C103" s="291"/>
      <c r="D103" s="167"/>
      <c r="E103" s="24"/>
      <c r="F103" s="24"/>
      <c r="G103" s="24"/>
      <c r="H103" s="24"/>
      <c r="I103" s="24"/>
      <c r="J103" s="24"/>
      <c r="K103" s="24"/>
      <c r="L103" s="24"/>
      <c r="M103" s="24"/>
      <c r="N103" s="24"/>
      <c r="O103" s="24"/>
      <c r="P103" s="24"/>
      <c r="Q103" s="24"/>
      <c r="R103" s="24"/>
      <c r="S103" s="24"/>
      <c r="T103" s="24"/>
      <c r="U103" s="24"/>
      <c r="V103" s="24"/>
      <c r="W103" s="24"/>
      <c r="X103" s="24"/>
      <c r="Y103" s="27"/>
      <c r="Z103" s="27"/>
      <c r="AA103" s="28"/>
      <c r="AB103" s="28"/>
      <c r="AC103" s="27"/>
      <c r="AD103" s="27"/>
      <c r="AE103" s="27"/>
      <c r="AF103" s="27"/>
      <c r="AG103" s="27"/>
      <c r="AH103" s="27"/>
      <c r="AI103" s="27"/>
      <c r="AJ103" s="27"/>
      <c r="AK103" s="24"/>
      <c r="AL103" s="24"/>
      <c r="AM103" s="17"/>
    </row>
    <row r="104" spans="1:40" s="2" customFormat="1" ht="15" x14ac:dyDescent="0.25">
      <c r="A104" s="254"/>
      <c r="B104" s="254">
        <v>3200</v>
      </c>
      <c r="C104" s="224" t="s">
        <v>191</v>
      </c>
      <c r="D104" s="167"/>
      <c r="E104" s="24"/>
      <c r="F104" s="24"/>
      <c r="G104" s="24"/>
      <c r="H104" s="24"/>
      <c r="I104" s="24"/>
      <c r="J104" s="24"/>
      <c r="K104" s="24"/>
      <c r="L104" s="24"/>
      <c r="M104" s="24"/>
      <c r="N104" s="24"/>
      <c r="O104" s="24"/>
      <c r="P104" s="24"/>
      <c r="Q104" s="24"/>
      <c r="R104" s="24"/>
      <c r="S104" s="24"/>
      <c r="T104" s="24"/>
      <c r="U104" s="24"/>
      <c r="V104" s="24"/>
      <c r="W104" s="24"/>
      <c r="X104" s="24"/>
      <c r="Y104" s="27"/>
      <c r="Z104" s="27"/>
      <c r="AA104" s="27"/>
      <c r="AB104" s="27"/>
      <c r="AC104" s="27"/>
      <c r="AD104" s="27"/>
      <c r="AE104" s="27"/>
      <c r="AF104" s="27"/>
      <c r="AG104" s="27"/>
      <c r="AH104" s="27"/>
      <c r="AI104" s="27"/>
      <c r="AJ104" s="27"/>
      <c r="AK104" s="24"/>
      <c r="AL104" s="24"/>
      <c r="AM104" s="17"/>
    </row>
    <row r="105" spans="1:40" s="117" customFormat="1" ht="15" x14ac:dyDescent="0.25">
      <c r="A105" s="116"/>
      <c r="B105" s="116">
        <v>3201</v>
      </c>
      <c r="C105" s="116" t="s">
        <v>130</v>
      </c>
      <c r="D105" s="221">
        <v>100000</v>
      </c>
      <c r="E105" s="25"/>
      <c r="F105" s="25"/>
      <c r="G105" s="25"/>
      <c r="H105" s="25"/>
      <c r="I105" s="25"/>
      <c r="J105" s="25"/>
      <c r="K105" s="25"/>
      <c r="L105" s="25"/>
      <c r="M105" s="25"/>
      <c r="N105" s="25"/>
      <c r="O105" s="25"/>
      <c r="P105" s="25"/>
      <c r="Q105" s="25"/>
      <c r="R105" s="25"/>
      <c r="S105" s="25"/>
      <c r="T105" s="25"/>
      <c r="U105" s="25"/>
      <c r="V105" s="25"/>
      <c r="W105" s="25"/>
      <c r="X105" s="25"/>
      <c r="Y105" s="25"/>
      <c r="Z105" s="25"/>
      <c r="AA105" s="25"/>
      <c r="AB105" s="25"/>
      <c r="AC105" s="25"/>
      <c r="AD105" s="25"/>
      <c r="AE105" s="25"/>
      <c r="AF105" s="25"/>
      <c r="AG105" s="25"/>
      <c r="AH105" s="25"/>
      <c r="AI105" s="25"/>
      <c r="AJ105" s="25"/>
      <c r="AK105" s="9">
        <f t="shared" ref="AK105:AL105" si="25">SUM(E105+G105+I105+K105+M105+O105+Q105+S105+U105+W105+Y105+AA105+AC105+AE105+AG105+AI105)</f>
        <v>0</v>
      </c>
      <c r="AL105" s="9">
        <f t="shared" si="25"/>
        <v>0</v>
      </c>
      <c r="AM105" s="258">
        <f t="shared" ref="AM105" si="26">AK105+AL105</f>
        <v>0</v>
      </c>
    </row>
    <row r="106" spans="1:40" s="117" customFormat="1" ht="15" x14ac:dyDescent="0.25">
      <c r="A106" s="116"/>
      <c r="B106" s="116"/>
      <c r="C106" s="116"/>
      <c r="D106" s="221"/>
      <c r="E106" s="25"/>
      <c r="F106" s="25"/>
      <c r="G106" s="25"/>
      <c r="H106" s="25"/>
      <c r="I106" s="25"/>
      <c r="J106" s="25"/>
      <c r="K106" s="25"/>
      <c r="L106" s="25"/>
      <c r="M106" s="25"/>
      <c r="N106" s="25"/>
      <c r="O106" s="25"/>
      <c r="P106" s="25"/>
      <c r="Q106" s="25"/>
      <c r="R106" s="25"/>
      <c r="S106" s="25"/>
      <c r="T106" s="25"/>
      <c r="U106" s="25"/>
      <c r="V106" s="25"/>
      <c r="W106" s="25"/>
      <c r="X106" s="25"/>
      <c r="Y106" s="25"/>
      <c r="Z106" s="25"/>
      <c r="AA106" s="25"/>
      <c r="AB106" s="25"/>
      <c r="AC106" s="25"/>
      <c r="AD106" s="25"/>
      <c r="AE106" s="25"/>
      <c r="AF106" s="25"/>
      <c r="AG106" s="25"/>
      <c r="AH106" s="25"/>
      <c r="AI106" s="25"/>
      <c r="AJ106" s="25"/>
      <c r="AK106" s="25"/>
      <c r="AL106" s="25"/>
      <c r="AM106" s="118"/>
    </row>
    <row r="107" spans="1:40" s="2" customFormat="1" ht="15" x14ac:dyDescent="0.25">
      <c r="A107" s="12"/>
      <c r="B107" s="11">
        <v>3299</v>
      </c>
      <c r="C107" s="225" t="s">
        <v>10</v>
      </c>
      <c r="D107" s="228">
        <f>SUM(D105)</f>
        <v>100000</v>
      </c>
      <c r="E107" s="228">
        <f t="shared" ref="E107:AM107" si="27">SUM(E105)</f>
        <v>0</v>
      </c>
      <c r="F107" s="228">
        <f t="shared" si="27"/>
        <v>0</v>
      </c>
      <c r="G107" s="228">
        <f t="shared" si="27"/>
        <v>0</v>
      </c>
      <c r="H107" s="228">
        <f t="shared" si="27"/>
        <v>0</v>
      </c>
      <c r="I107" s="228">
        <f t="shared" si="27"/>
        <v>0</v>
      </c>
      <c r="J107" s="228">
        <f t="shared" si="27"/>
        <v>0</v>
      </c>
      <c r="K107" s="228">
        <f t="shared" si="27"/>
        <v>0</v>
      </c>
      <c r="L107" s="228">
        <f t="shared" si="27"/>
        <v>0</v>
      </c>
      <c r="M107" s="228">
        <f t="shared" si="27"/>
        <v>0</v>
      </c>
      <c r="N107" s="228">
        <f t="shared" si="27"/>
        <v>0</v>
      </c>
      <c r="O107" s="228">
        <f t="shared" si="27"/>
        <v>0</v>
      </c>
      <c r="P107" s="228">
        <f t="shared" si="27"/>
        <v>0</v>
      </c>
      <c r="Q107" s="228">
        <f t="shared" si="27"/>
        <v>0</v>
      </c>
      <c r="R107" s="228">
        <f t="shared" si="27"/>
        <v>0</v>
      </c>
      <c r="S107" s="228">
        <f t="shared" si="27"/>
        <v>0</v>
      </c>
      <c r="T107" s="228">
        <f t="shared" si="27"/>
        <v>0</v>
      </c>
      <c r="U107" s="228">
        <f t="shared" si="27"/>
        <v>0</v>
      </c>
      <c r="V107" s="228">
        <f t="shared" si="27"/>
        <v>0</v>
      </c>
      <c r="W107" s="228">
        <f t="shared" si="27"/>
        <v>0</v>
      </c>
      <c r="X107" s="228">
        <f t="shared" si="27"/>
        <v>0</v>
      </c>
      <c r="Y107" s="228">
        <f t="shared" si="27"/>
        <v>0</v>
      </c>
      <c r="Z107" s="228">
        <f t="shared" si="27"/>
        <v>0</v>
      </c>
      <c r="AA107" s="228">
        <f t="shared" si="27"/>
        <v>0</v>
      </c>
      <c r="AB107" s="228">
        <f t="shared" si="27"/>
        <v>0</v>
      </c>
      <c r="AC107" s="228">
        <f t="shared" si="27"/>
        <v>0</v>
      </c>
      <c r="AD107" s="228">
        <f t="shared" si="27"/>
        <v>0</v>
      </c>
      <c r="AE107" s="228">
        <f t="shared" si="27"/>
        <v>0</v>
      </c>
      <c r="AF107" s="228">
        <f t="shared" si="27"/>
        <v>0</v>
      </c>
      <c r="AG107" s="228">
        <f t="shared" si="27"/>
        <v>0</v>
      </c>
      <c r="AH107" s="228">
        <f t="shared" si="27"/>
        <v>0</v>
      </c>
      <c r="AI107" s="228">
        <f t="shared" si="27"/>
        <v>0</v>
      </c>
      <c r="AJ107" s="228">
        <f t="shared" si="27"/>
        <v>0</v>
      </c>
      <c r="AK107" s="228">
        <f t="shared" si="27"/>
        <v>0</v>
      </c>
      <c r="AL107" s="228">
        <f t="shared" si="27"/>
        <v>0</v>
      </c>
      <c r="AM107" s="228">
        <f t="shared" si="27"/>
        <v>0</v>
      </c>
    </row>
    <row r="108" spans="1:40" s="117" customFormat="1" ht="15" x14ac:dyDescent="0.25">
      <c r="A108" s="116"/>
      <c r="B108" s="116">
        <v>3300</v>
      </c>
      <c r="C108" s="227" t="s">
        <v>192</v>
      </c>
      <c r="D108" s="221"/>
      <c r="E108" s="25"/>
      <c r="F108" s="25"/>
      <c r="G108" s="25"/>
      <c r="H108" s="25"/>
      <c r="I108" s="25"/>
      <c r="J108" s="25"/>
      <c r="K108" s="25"/>
      <c r="L108" s="25"/>
      <c r="M108" s="25"/>
      <c r="N108" s="25"/>
      <c r="O108" s="25"/>
      <c r="P108" s="25"/>
      <c r="Q108" s="25"/>
      <c r="R108" s="25"/>
      <c r="S108" s="25"/>
      <c r="T108" s="25"/>
      <c r="U108" s="25"/>
      <c r="V108" s="25"/>
      <c r="W108" s="25"/>
      <c r="X108" s="25"/>
      <c r="Y108" s="25"/>
      <c r="Z108" s="25"/>
      <c r="AA108" s="25"/>
      <c r="AB108" s="25"/>
      <c r="AC108" s="25"/>
      <c r="AD108" s="25"/>
      <c r="AE108" s="25"/>
      <c r="AF108" s="25"/>
      <c r="AG108" s="25"/>
      <c r="AH108" s="25"/>
      <c r="AI108" s="25"/>
      <c r="AJ108" s="25"/>
      <c r="AK108" s="25"/>
      <c r="AL108" s="25"/>
      <c r="AM108" s="118"/>
      <c r="AN108" s="119"/>
    </row>
    <row r="109" spans="1:40" s="2" customFormat="1" ht="15" x14ac:dyDescent="0.25">
      <c r="A109" s="254"/>
      <c r="B109" s="254">
        <v>3301</v>
      </c>
      <c r="C109" s="254" t="s">
        <v>131</v>
      </c>
      <c r="D109" s="174">
        <v>20000</v>
      </c>
      <c r="E109" s="27"/>
      <c r="F109" s="27"/>
      <c r="G109" s="27"/>
      <c r="H109" s="27"/>
      <c r="I109" s="27"/>
      <c r="J109" s="27"/>
      <c r="K109" s="27"/>
      <c r="L109" s="27"/>
      <c r="M109" s="27"/>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9">
        <f t="shared" ref="AK109:AL112" si="28">SUM(E109+G109+I109+K109+M109+O109+Q109+S109+U109+W109+Y109+AA109+AC109+AE109+AG109+AI109)</f>
        <v>0</v>
      </c>
      <c r="AL109" s="9">
        <f t="shared" si="28"/>
        <v>0</v>
      </c>
      <c r="AM109" s="258">
        <f t="shared" ref="AM109:AM112" si="29">AK109+AL109</f>
        <v>0</v>
      </c>
    </row>
    <row r="110" spans="1:40" s="2" customFormat="1" ht="15" x14ac:dyDescent="0.25">
      <c r="A110" s="254"/>
      <c r="B110" s="254">
        <v>3302</v>
      </c>
      <c r="C110" s="3" t="s">
        <v>132</v>
      </c>
      <c r="D110" s="174">
        <v>180000</v>
      </c>
      <c r="E110" s="27"/>
      <c r="F110" s="27"/>
      <c r="G110" s="27"/>
      <c r="H110" s="27"/>
      <c r="I110" s="27"/>
      <c r="J110" s="27"/>
      <c r="K110" s="27"/>
      <c r="L110" s="27"/>
      <c r="M110" s="27"/>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9">
        <f t="shared" si="28"/>
        <v>0</v>
      </c>
      <c r="AL110" s="9">
        <f t="shared" si="28"/>
        <v>0</v>
      </c>
      <c r="AM110" s="258">
        <f t="shared" si="29"/>
        <v>0</v>
      </c>
    </row>
    <row r="111" spans="1:40" s="2" customFormat="1" ht="15" x14ac:dyDescent="0.25">
      <c r="A111" s="254"/>
      <c r="B111" s="254">
        <v>3303</v>
      </c>
      <c r="C111" s="3" t="s">
        <v>149</v>
      </c>
      <c r="D111" s="174">
        <v>35000</v>
      </c>
      <c r="E111" s="27"/>
      <c r="F111" s="27"/>
      <c r="G111" s="27"/>
      <c r="H111" s="27"/>
      <c r="I111" s="27"/>
      <c r="J111" s="27"/>
      <c r="K111" s="27"/>
      <c r="L111" s="27"/>
      <c r="M111" s="27"/>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9">
        <f t="shared" si="28"/>
        <v>0</v>
      </c>
      <c r="AL111" s="9">
        <f t="shared" si="28"/>
        <v>0</v>
      </c>
      <c r="AM111" s="258">
        <f t="shared" si="29"/>
        <v>0</v>
      </c>
    </row>
    <row r="112" spans="1:40" s="2" customFormat="1" ht="15" x14ac:dyDescent="0.25">
      <c r="A112" s="254"/>
      <c r="B112" s="254">
        <v>3304</v>
      </c>
      <c r="C112" s="270" t="s">
        <v>222</v>
      </c>
      <c r="D112" s="174">
        <v>95000</v>
      </c>
      <c r="E112" s="27"/>
      <c r="F112" s="27"/>
      <c r="G112" s="27"/>
      <c r="H112" s="27"/>
      <c r="I112" s="27"/>
      <c r="J112" s="27"/>
      <c r="K112" s="27"/>
      <c r="L112" s="27"/>
      <c r="M112" s="27"/>
      <c r="N112" s="27"/>
      <c r="O112" s="27"/>
      <c r="P112" s="27"/>
      <c r="Q112" s="27"/>
      <c r="R112" s="24">
        <v>15000</v>
      </c>
      <c r="S112" s="24"/>
      <c r="T112" s="24">
        <v>15000</v>
      </c>
      <c r="U112" s="24"/>
      <c r="V112" s="24">
        <v>15000</v>
      </c>
      <c r="W112" s="24"/>
      <c r="X112" s="24"/>
      <c r="Y112" s="24"/>
      <c r="Z112" s="24"/>
      <c r="AA112" s="24">
        <v>50000</v>
      </c>
      <c r="AB112" s="27"/>
      <c r="AC112" s="27"/>
      <c r="AD112" s="27"/>
      <c r="AE112" s="27"/>
      <c r="AF112" s="27"/>
      <c r="AG112" s="27"/>
      <c r="AH112" s="27"/>
      <c r="AI112" s="27"/>
      <c r="AJ112" s="27"/>
      <c r="AK112" s="9">
        <f t="shared" si="28"/>
        <v>50000</v>
      </c>
      <c r="AL112" s="9">
        <f t="shared" si="28"/>
        <v>45000</v>
      </c>
      <c r="AM112" s="258">
        <f t="shared" si="29"/>
        <v>95000</v>
      </c>
    </row>
    <row r="113" spans="1:39" s="2" customFormat="1" ht="15" x14ac:dyDescent="0.25">
      <c r="A113" s="254"/>
      <c r="B113" s="254"/>
      <c r="C113" s="223"/>
      <c r="D113" s="174"/>
      <c r="E113" s="27"/>
      <c r="F113" s="27"/>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4"/>
      <c r="AL113" s="24"/>
      <c r="AM113" s="4"/>
    </row>
    <row r="114" spans="1:39" s="2" customFormat="1" ht="15" x14ac:dyDescent="0.25">
      <c r="A114" s="254"/>
      <c r="B114" s="11">
        <v>3399</v>
      </c>
      <c r="C114" s="11" t="s">
        <v>10</v>
      </c>
      <c r="D114" s="228">
        <f>SUM(D109:D112)</f>
        <v>330000</v>
      </c>
      <c r="E114" s="228">
        <f t="shared" ref="E114:AM114" si="30">SUM(E109:E112)</f>
        <v>0</v>
      </c>
      <c r="F114" s="228">
        <f t="shared" si="30"/>
        <v>0</v>
      </c>
      <c r="G114" s="228">
        <f t="shared" si="30"/>
        <v>0</v>
      </c>
      <c r="H114" s="228">
        <f t="shared" si="30"/>
        <v>0</v>
      </c>
      <c r="I114" s="228">
        <f t="shared" si="30"/>
        <v>0</v>
      </c>
      <c r="J114" s="228">
        <f t="shared" si="30"/>
        <v>0</v>
      </c>
      <c r="K114" s="228">
        <f t="shared" si="30"/>
        <v>0</v>
      </c>
      <c r="L114" s="228">
        <f t="shared" si="30"/>
        <v>0</v>
      </c>
      <c r="M114" s="228">
        <f t="shared" si="30"/>
        <v>0</v>
      </c>
      <c r="N114" s="228">
        <f t="shared" si="30"/>
        <v>0</v>
      </c>
      <c r="O114" s="228">
        <f t="shared" si="30"/>
        <v>0</v>
      </c>
      <c r="P114" s="228">
        <f t="shared" si="30"/>
        <v>0</v>
      </c>
      <c r="Q114" s="228">
        <f t="shared" si="30"/>
        <v>0</v>
      </c>
      <c r="R114" s="228">
        <f t="shared" si="30"/>
        <v>15000</v>
      </c>
      <c r="S114" s="228">
        <f t="shared" si="30"/>
        <v>0</v>
      </c>
      <c r="T114" s="228">
        <f t="shared" si="30"/>
        <v>15000</v>
      </c>
      <c r="U114" s="228">
        <f t="shared" si="30"/>
        <v>0</v>
      </c>
      <c r="V114" s="228">
        <f t="shared" si="30"/>
        <v>15000</v>
      </c>
      <c r="W114" s="228">
        <f t="shared" si="30"/>
        <v>0</v>
      </c>
      <c r="X114" s="228">
        <f t="shared" si="30"/>
        <v>0</v>
      </c>
      <c r="Y114" s="228">
        <f t="shared" si="30"/>
        <v>0</v>
      </c>
      <c r="Z114" s="228">
        <f t="shared" si="30"/>
        <v>0</v>
      </c>
      <c r="AA114" s="228">
        <f t="shared" si="30"/>
        <v>50000</v>
      </c>
      <c r="AB114" s="228">
        <f t="shared" si="30"/>
        <v>0</v>
      </c>
      <c r="AC114" s="228">
        <f t="shared" si="30"/>
        <v>0</v>
      </c>
      <c r="AD114" s="228">
        <f t="shared" si="30"/>
        <v>0</v>
      </c>
      <c r="AE114" s="228">
        <f t="shared" si="30"/>
        <v>0</v>
      </c>
      <c r="AF114" s="228">
        <f t="shared" si="30"/>
        <v>0</v>
      </c>
      <c r="AG114" s="228">
        <f t="shared" si="30"/>
        <v>0</v>
      </c>
      <c r="AH114" s="228">
        <f t="shared" si="30"/>
        <v>0</v>
      </c>
      <c r="AI114" s="228">
        <f t="shared" si="30"/>
        <v>0</v>
      </c>
      <c r="AJ114" s="228">
        <f t="shared" si="30"/>
        <v>0</v>
      </c>
      <c r="AK114" s="228">
        <f t="shared" si="30"/>
        <v>50000</v>
      </c>
      <c r="AL114" s="228">
        <f t="shared" si="30"/>
        <v>45000</v>
      </c>
      <c r="AM114" s="228">
        <f t="shared" si="30"/>
        <v>95000</v>
      </c>
    </row>
    <row r="115" spans="1:39" s="2" customFormat="1" ht="15" x14ac:dyDescent="0.25">
      <c r="A115" s="254"/>
      <c r="B115" s="13">
        <v>3999</v>
      </c>
      <c r="C115" s="218" t="s">
        <v>11</v>
      </c>
      <c r="D115" s="229">
        <f t="shared" ref="D115:AM115" si="31">SUM(D107,D114)</f>
        <v>430000</v>
      </c>
      <c r="E115" s="229">
        <f t="shared" si="31"/>
        <v>0</v>
      </c>
      <c r="F115" s="229">
        <f t="shared" si="31"/>
        <v>0</v>
      </c>
      <c r="G115" s="229">
        <f t="shared" si="31"/>
        <v>0</v>
      </c>
      <c r="H115" s="229">
        <f t="shared" si="31"/>
        <v>0</v>
      </c>
      <c r="I115" s="229">
        <f t="shared" si="31"/>
        <v>0</v>
      </c>
      <c r="J115" s="229">
        <f t="shared" si="31"/>
        <v>0</v>
      </c>
      <c r="K115" s="229">
        <f t="shared" si="31"/>
        <v>0</v>
      </c>
      <c r="L115" s="229">
        <f t="shared" si="31"/>
        <v>0</v>
      </c>
      <c r="M115" s="229">
        <f t="shared" si="31"/>
        <v>0</v>
      </c>
      <c r="N115" s="229">
        <f t="shared" si="31"/>
        <v>0</v>
      </c>
      <c r="O115" s="229">
        <f t="shared" si="31"/>
        <v>0</v>
      </c>
      <c r="P115" s="229">
        <f t="shared" si="31"/>
        <v>0</v>
      </c>
      <c r="Q115" s="229">
        <f t="shared" si="31"/>
        <v>0</v>
      </c>
      <c r="R115" s="229">
        <f t="shared" si="31"/>
        <v>15000</v>
      </c>
      <c r="S115" s="229">
        <f t="shared" si="31"/>
        <v>0</v>
      </c>
      <c r="T115" s="229">
        <f t="shared" si="31"/>
        <v>15000</v>
      </c>
      <c r="U115" s="229">
        <f t="shared" si="31"/>
        <v>0</v>
      </c>
      <c r="V115" s="229">
        <f t="shared" si="31"/>
        <v>15000</v>
      </c>
      <c r="W115" s="229">
        <f t="shared" si="31"/>
        <v>0</v>
      </c>
      <c r="X115" s="229">
        <f t="shared" si="31"/>
        <v>0</v>
      </c>
      <c r="Y115" s="229">
        <f t="shared" si="31"/>
        <v>0</v>
      </c>
      <c r="Z115" s="229">
        <f t="shared" si="31"/>
        <v>0</v>
      </c>
      <c r="AA115" s="229">
        <f t="shared" si="31"/>
        <v>50000</v>
      </c>
      <c r="AB115" s="229">
        <f t="shared" si="31"/>
        <v>0</v>
      </c>
      <c r="AC115" s="229">
        <f t="shared" si="31"/>
        <v>0</v>
      </c>
      <c r="AD115" s="229">
        <f t="shared" si="31"/>
        <v>0</v>
      </c>
      <c r="AE115" s="229">
        <f t="shared" si="31"/>
        <v>0</v>
      </c>
      <c r="AF115" s="229">
        <f t="shared" si="31"/>
        <v>0</v>
      </c>
      <c r="AG115" s="229">
        <f t="shared" si="31"/>
        <v>0</v>
      </c>
      <c r="AH115" s="229">
        <f t="shared" si="31"/>
        <v>0</v>
      </c>
      <c r="AI115" s="229">
        <f t="shared" si="31"/>
        <v>0</v>
      </c>
      <c r="AJ115" s="229">
        <f t="shared" si="31"/>
        <v>0</v>
      </c>
      <c r="AK115" s="229">
        <f t="shared" si="31"/>
        <v>50000</v>
      </c>
      <c r="AL115" s="229">
        <f t="shared" si="31"/>
        <v>45000</v>
      </c>
      <c r="AM115" s="229">
        <f t="shared" si="31"/>
        <v>95000</v>
      </c>
    </row>
    <row r="116" spans="1:39" s="2" customFormat="1" ht="15" x14ac:dyDescent="0.25">
      <c r="A116" s="254"/>
      <c r="B116" s="254"/>
      <c r="C116" s="254"/>
      <c r="D116" s="167"/>
      <c r="E116" s="24"/>
      <c r="F116" s="24"/>
      <c r="G116" s="24"/>
      <c r="H116" s="24"/>
      <c r="I116" s="24"/>
      <c r="J116" s="24"/>
      <c r="K116" s="24"/>
      <c r="L116" s="24"/>
      <c r="M116" s="24"/>
      <c r="N116" s="24"/>
      <c r="O116" s="24"/>
      <c r="P116" s="24"/>
      <c r="Q116" s="24"/>
      <c r="R116" s="24"/>
      <c r="S116" s="24"/>
      <c r="T116" s="24"/>
      <c r="U116" s="24"/>
      <c r="V116" s="24"/>
      <c r="W116" s="24"/>
      <c r="X116" s="24"/>
      <c r="Y116" s="27"/>
      <c r="Z116" s="27"/>
      <c r="AA116" s="28"/>
      <c r="AB116" s="28"/>
      <c r="AC116" s="27"/>
      <c r="AD116" s="27"/>
      <c r="AE116" s="27"/>
      <c r="AF116" s="27"/>
      <c r="AG116" s="27"/>
      <c r="AH116" s="27"/>
      <c r="AI116" s="27"/>
      <c r="AJ116" s="27"/>
      <c r="AK116" s="24"/>
      <c r="AL116" s="24"/>
      <c r="AM116" s="4"/>
    </row>
    <row r="117" spans="1:39" s="2" customFormat="1" ht="15" x14ac:dyDescent="0.25">
      <c r="A117" s="254">
        <v>40</v>
      </c>
      <c r="B117" s="291" t="s">
        <v>14</v>
      </c>
      <c r="C117" s="291"/>
      <c r="D117" s="167"/>
      <c r="E117" s="24"/>
      <c r="F117" s="24"/>
      <c r="G117" s="24"/>
      <c r="H117" s="24"/>
      <c r="I117" s="24"/>
      <c r="J117" s="24"/>
      <c r="K117" s="24"/>
      <c r="L117" s="24"/>
      <c r="M117" s="24"/>
      <c r="N117" s="24"/>
      <c r="O117" s="24"/>
      <c r="P117" s="24"/>
      <c r="Q117" s="24"/>
      <c r="R117" s="24"/>
      <c r="S117" s="24"/>
      <c r="T117" s="24"/>
      <c r="U117" s="24"/>
      <c r="V117" s="24"/>
      <c r="W117" s="24"/>
      <c r="X117" s="24"/>
      <c r="Y117" s="27"/>
      <c r="Z117" s="27"/>
      <c r="AA117" s="28"/>
      <c r="AB117" s="28"/>
      <c r="AC117" s="27"/>
      <c r="AD117" s="27"/>
      <c r="AE117" s="27"/>
      <c r="AF117" s="27"/>
      <c r="AG117" s="27"/>
      <c r="AH117" s="27"/>
      <c r="AI117" s="27"/>
      <c r="AJ117" s="27"/>
      <c r="AK117" s="24"/>
      <c r="AL117" s="24"/>
      <c r="AM117" s="4"/>
    </row>
    <row r="118" spans="1:39" s="117" customFormat="1" ht="15" x14ac:dyDescent="0.25">
      <c r="A118" s="116"/>
      <c r="B118" s="116">
        <v>4100</v>
      </c>
      <c r="C118" s="227" t="s">
        <v>134</v>
      </c>
      <c r="D118" s="221"/>
      <c r="E118" s="25"/>
      <c r="F118" s="25"/>
      <c r="G118" s="25"/>
      <c r="H118" s="25"/>
      <c r="I118" s="25"/>
      <c r="J118" s="25"/>
      <c r="K118" s="25"/>
      <c r="L118" s="25"/>
      <c r="M118" s="25"/>
      <c r="N118" s="25"/>
      <c r="O118" s="25"/>
      <c r="P118" s="25"/>
      <c r="Q118" s="25"/>
      <c r="R118" s="25"/>
      <c r="S118" s="25"/>
      <c r="T118" s="25"/>
      <c r="U118" s="25"/>
      <c r="V118" s="25"/>
      <c r="W118" s="25"/>
      <c r="X118" s="25"/>
      <c r="Y118" s="25"/>
      <c r="Z118" s="25"/>
      <c r="AA118" s="25"/>
      <c r="AB118" s="25"/>
      <c r="AC118" s="25"/>
      <c r="AD118" s="25"/>
      <c r="AE118" s="25"/>
      <c r="AF118" s="25"/>
      <c r="AG118" s="25"/>
      <c r="AH118" s="25"/>
      <c r="AI118" s="25"/>
      <c r="AJ118" s="25"/>
      <c r="AK118" s="25"/>
      <c r="AL118" s="25"/>
      <c r="AM118" s="118"/>
    </row>
    <row r="119" spans="1:39" s="6" customFormat="1" ht="15" x14ac:dyDescent="0.25">
      <c r="A119" s="12"/>
      <c r="B119" s="254">
        <v>4101</v>
      </c>
      <c r="C119" s="254" t="s">
        <v>133</v>
      </c>
      <c r="D119" s="167">
        <v>8000</v>
      </c>
      <c r="E119" s="24"/>
      <c r="F119" s="24"/>
      <c r="G119" s="24"/>
      <c r="H119" s="24"/>
      <c r="I119" s="24"/>
      <c r="J119" s="24"/>
      <c r="K119" s="24"/>
      <c r="L119" s="24"/>
      <c r="M119" s="24"/>
      <c r="N119" s="24"/>
      <c r="O119" s="24"/>
      <c r="P119" s="24"/>
      <c r="Q119" s="24"/>
      <c r="R119" s="24"/>
      <c r="S119" s="24"/>
      <c r="T119" s="24"/>
      <c r="U119" s="24"/>
      <c r="V119" s="24"/>
      <c r="W119" s="24"/>
      <c r="X119" s="24"/>
      <c r="Y119" s="24"/>
      <c r="Z119" s="24"/>
      <c r="AA119" s="24"/>
      <c r="AB119" s="24"/>
      <c r="AC119" s="24"/>
      <c r="AD119" s="24"/>
      <c r="AE119" s="24"/>
      <c r="AF119" s="24"/>
      <c r="AG119" s="24"/>
      <c r="AH119" s="24"/>
      <c r="AI119" s="24"/>
      <c r="AJ119" s="24"/>
      <c r="AK119" s="9">
        <f t="shared" ref="AK119:AL123" si="32">SUM(E119+G119+I119+K119+M119+O119+Q119+S119+U119+W119+Y119+AA119+AC119+AE119+AG119+AI119)</f>
        <v>0</v>
      </c>
      <c r="AL119" s="9">
        <f t="shared" si="32"/>
        <v>0</v>
      </c>
      <c r="AM119" s="258">
        <f t="shared" ref="AM119:AM123" si="33">AK119+AL119</f>
        <v>0</v>
      </c>
    </row>
    <row r="120" spans="1:39" s="117" customFormat="1" ht="15" x14ac:dyDescent="0.25">
      <c r="A120" s="116"/>
      <c r="B120" s="116">
        <v>4201</v>
      </c>
      <c r="C120" s="227" t="s">
        <v>135</v>
      </c>
      <c r="D120" s="221"/>
      <c r="E120" s="25"/>
      <c r="F120" s="25"/>
      <c r="G120" s="25"/>
      <c r="H120" s="25"/>
      <c r="I120" s="25"/>
      <c r="J120" s="25"/>
      <c r="K120" s="25"/>
      <c r="L120" s="25"/>
      <c r="M120" s="25"/>
      <c r="N120" s="25"/>
      <c r="O120" s="25"/>
      <c r="P120" s="25"/>
      <c r="Q120" s="25"/>
      <c r="R120" s="25"/>
      <c r="S120" s="25"/>
      <c r="T120" s="25"/>
      <c r="U120" s="25"/>
      <c r="V120" s="25"/>
      <c r="W120" s="25"/>
      <c r="X120" s="25"/>
      <c r="Y120" s="25"/>
      <c r="Z120" s="25"/>
      <c r="AA120" s="25"/>
      <c r="AB120" s="25"/>
      <c r="AC120" s="25"/>
      <c r="AD120" s="25"/>
      <c r="AE120" s="25"/>
      <c r="AF120" s="25"/>
      <c r="AG120" s="25"/>
      <c r="AH120" s="25"/>
      <c r="AI120" s="25"/>
      <c r="AJ120" s="25"/>
      <c r="AK120" s="9">
        <f t="shared" si="32"/>
        <v>0</v>
      </c>
      <c r="AL120" s="9">
        <f t="shared" si="32"/>
        <v>0</v>
      </c>
      <c r="AM120" s="258">
        <f t="shared" si="33"/>
        <v>0</v>
      </c>
    </row>
    <row r="121" spans="1:39" s="2" customFormat="1" ht="15" x14ac:dyDescent="0.25">
      <c r="A121" s="254"/>
      <c r="B121" s="254">
        <v>4202</v>
      </c>
      <c r="C121" s="223" t="s">
        <v>151</v>
      </c>
      <c r="D121" s="174">
        <v>47440</v>
      </c>
      <c r="E121" s="27"/>
      <c r="F121" s="27"/>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9">
        <f t="shared" si="32"/>
        <v>0</v>
      </c>
      <c r="AL121" s="9">
        <f t="shared" si="32"/>
        <v>0</v>
      </c>
      <c r="AM121" s="258">
        <f t="shared" si="33"/>
        <v>0</v>
      </c>
    </row>
    <row r="122" spans="1:39" s="2" customFormat="1" ht="15" x14ac:dyDescent="0.25">
      <c r="A122" s="254"/>
      <c r="B122" s="254">
        <v>4203</v>
      </c>
      <c r="C122" s="3" t="s">
        <v>209</v>
      </c>
      <c r="D122" s="174">
        <v>60000</v>
      </c>
      <c r="E122" s="27"/>
      <c r="F122" s="27"/>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9">
        <f t="shared" si="32"/>
        <v>0</v>
      </c>
      <c r="AL122" s="9">
        <f t="shared" si="32"/>
        <v>0</v>
      </c>
      <c r="AM122" s="258">
        <f t="shared" si="33"/>
        <v>0</v>
      </c>
    </row>
    <row r="123" spans="1:39" s="2" customFormat="1" ht="15" x14ac:dyDescent="0.25">
      <c r="A123" s="254"/>
      <c r="B123" s="254">
        <v>4204</v>
      </c>
      <c r="C123" s="223" t="s">
        <v>136</v>
      </c>
      <c r="D123" s="174">
        <v>25000</v>
      </c>
      <c r="E123" s="27"/>
      <c r="F123" s="27"/>
      <c r="G123" s="27"/>
      <c r="H123" s="27"/>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9">
        <f t="shared" si="32"/>
        <v>0</v>
      </c>
      <c r="AL123" s="9">
        <f t="shared" si="32"/>
        <v>0</v>
      </c>
      <c r="AM123" s="258">
        <f t="shared" si="33"/>
        <v>0</v>
      </c>
    </row>
    <row r="124" spans="1:39" s="2" customFormat="1" ht="15" x14ac:dyDescent="0.25">
      <c r="A124" s="254"/>
      <c r="B124" s="254"/>
      <c r="C124" s="223"/>
      <c r="D124" s="174"/>
      <c r="E124" s="27"/>
      <c r="F124" s="27"/>
      <c r="G124" s="27"/>
      <c r="H124" s="27"/>
      <c r="I124" s="27"/>
      <c r="J124" s="27"/>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4"/>
    </row>
    <row r="125" spans="1:39" s="2" customFormat="1" ht="15" x14ac:dyDescent="0.25">
      <c r="A125" s="254"/>
      <c r="B125" s="11">
        <v>4299</v>
      </c>
      <c r="C125" s="11" t="s">
        <v>10</v>
      </c>
      <c r="D125" s="228">
        <f>SUM(D119:D123)</f>
        <v>140440</v>
      </c>
      <c r="E125" s="228">
        <f t="shared" ref="E125:AM125" si="34">SUM(E119:E123)</f>
        <v>0</v>
      </c>
      <c r="F125" s="228">
        <f t="shared" si="34"/>
        <v>0</v>
      </c>
      <c r="G125" s="228">
        <f t="shared" si="34"/>
        <v>0</v>
      </c>
      <c r="H125" s="228">
        <f t="shared" si="34"/>
        <v>0</v>
      </c>
      <c r="I125" s="228">
        <f t="shared" si="34"/>
        <v>0</v>
      </c>
      <c r="J125" s="228">
        <f t="shared" si="34"/>
        <v>0</v>
      </c>
      <c r="K125" s="228">
        <f t="shared" si="34"/>
        <v>0</v>
      </c>
      <c r="L125" s="228">
        <f t="shared" si="34"/>
        <v>0</v>
      </c>
      <c r="M125" s="228">
        <f t="shared" si="34"/>
        <v>0</v>
      </c>
      <c r="N125" s="228">
        <f t="shared" si="34"/>
        <v>0</v>
      </c>
      <c r="O125" s="228">
        <f t="shared" si="34"/>
        <v>0</v>
      </c>
      <c r="P125" s="228">
        <f t="shared" si="34"/>
        <v>0</v>
      </c>
      <c r="Q125" s="228">
        <f t="shared" si="34"/>
        <v>0</v>
      </c>
      <c r="R125" s="228">
        <f t="shared" si="34"/>
        <v>0</v>
      </c>
      <c r="S125" s="228">
        <f t="shared" si="34"/>
        <v>0</v>
      </c>
      <c r="T125" s="228">
        <f t="shared" si="34"/>
        <v>0</v>
      </c>
      <c r="U125" s="228">
        <f t="shared" si="34"/>
        <v>0</v>
      </c>
      <c r="V125" s="228">
        <f t="shared" si="34"/>
        <v>0</v>
      </c>
      <c r="W125" s="228">
        <f t="shared" si="34"/>
        <v>0</v>
      </c>
      <c r="X125" s="228">
        <f t="shared" si="34"/>
        <v>0</v>
      </c>
      <c r="Y125" s="228">
        <f t="shared" si="34"/>
        <v>0</v>
      </c>
      <c r="Z125" s="228">
        <f t="shared" si="34"/>
        <v>0</v>
      </c>
      <c r="AA125" s="228">
        <f t="shared" si="34"/>
        <v>0</v>
      </c>
      <c r="AB125" s="228">
        <f t="shared" si="34"/>
        <v>0</v>
      </c>
      <c r="AC125" s="228">
        <f t="shared" si="34"/>
        <v>0</v>
      </c>
      <c r="AD125" s="228">
        <f t="shared" si="34"/>
        <v>0</v>
      </c>
      <c r="AE125" s="228">
        <f t="shared" si="34"/>
        <v>0</v>
      </c>
      <c r="AF125" s="228">
        <f t="shared" si="34"/>
        <v>0</v>
      </c>
      <c r="AG125" s="228">
        <f t="shared" si="34"/>
        <v>0</v>
      </c>
      <c r="AH125" s="228">
        <f t="shared" si="34"/>
        <v>0</v>
      </c>
      <c r="AI125" s="228">
        <f t="shared" si="34"/>
        <v>0</v>
      </c>
      <c r="AJ125" s="228">
        <f t="shared" si="34"/>
        <v>0</v>
      </c>
      <c r="AK125" s="228">
        <f t="shared" si="34"/>
        <v>0</v>
      </c>
      <c r="AL125" s="228">
        <f t="shared" si="34"/>
        <v>0</v>
      </c>
      <c r="AM125" s="228">
        <f t="shared" si="34"/>
        <v>0</v>
      </c>
    </row>
    <row r="126" spans="1:39" s="2" customFormat="1" ht="15" x14ac:dyDescent="0.25">
      <c r="A126" s="254"/>
      <c r="B126" s="254">
        <v>4300</v>
      </c>
      <c r="C126" s="224" t="s">
        <v>193</v>
      </c>
      <c r="D126" s="167"/>
      <c r="E126" s="24"/>
      <c r="F126" s="24"/>
      <c r="G126" s="24"/>
      <c r="H126" s="24"/>
      <c r="I126" s="24"/>
      <c r="J126" s="24"/>
      <c r="K126" s="24"/>
      <c r="L126" s="24"/>
      <c r="M126" s="24"/>
      <c r="N126" s="24"/>
      <c r="O126" s="24"/>
      <c r="P126" s="24"/>
      <c r="Q126" s="24"/>
      <c r="R126" s="24"/>
      <c r="S126" s="24"/>
      <c r="T126" s="24"/>
      <c r="U126" s="24"/>
      <c r="V126" s="24"/>
      <c r="W126" s="24"/>
      <c r="X126" s="24"/>
      <c r="Y126" s="27"/>
      <c r="Z126" s="27"/>
      <c r="AA126" s="28"/>
      <c r="AB126" s="28"/>
      <c r="AC126" s="27"/>
      <c r="AD126" s="27"/>
      <c r="AE126" s="27"/>
      <c r="AF126" s="27"/>
      <c r="AG126" s="27"/>
      <c r="AH126" s="27"/>
      <c r="AI126" s="27"/>
      <c r="AJ126" s="27"/>
      <c r="AK126" s="24"/>
      <c r="AL126" s="24"/>
      <c r="AM126" s="4"/>
    </row>
    <row r="127" spans="1:39" s="2" customFormat="1" ht="15" x14ac:dyDescent="0.25">
      <c r="A127" s="254"/>
      <c r="B127" s="254">
        <v>4301</v>
      </c>
      <c r="C127" s="137" t="s">
        <v>125</v>
      </c>
      <c r="D127" s="167">
        <v>0</v>
      </c>
      <c r="E127" s="24"/>
      <c r="F127" s="24"/>
      <c r="G127" s="24"/>
      <c r="H127" s="24"/>
      <c r="I127" s="24"/>
      <c r="J127" s="24"/>
      <c r="K127" s="24"/>
      <c r="L127" s="24"/>
      <c r="M127" s="24"/>
      <c r="N127" s="24"/>
      <c r="O127" s="24"/>
      <c r="P127" s="262">
        <v>72000</v>
      </c>
      <c r="Q127" s="24"/>
      <c r="R127" s="24"/>
      <c r="S127" s="24"/>
      <c r="T127" s="24"/>
      <c r="U127" s="24"/>
      <c r="V127" s="24"/>
      <c r="W127" s="24"/>
      <c r="X127" s="24"/>
      <c r="Y127" s="24"/>
      <c r="Z127" s="24"/>
      <c r="AA127" s="24">
        <v>9222</v>
      </c>
      <c r="AB127" s="27"/>
      <c r="AC127" s="27"/>
      <c r="AD127" s="27"/>
      <c r="AE127" s="27"/>
      <c r="AF127" s="27"/>
      <c r="AG127" s="27"/>
      <c r="AH127" s="27"/>
      <c r="AI127" s="27"/>
      <c r="AJ127" s="27"/>
      <c r="AK127" s="9">
        <f t="shared" ref="AK127:AL133" si="35">SUM(E127+G127+I127+K127+M127+O127+Q127+S127+U127+W127+Y127+AA127+AC127+AE127+AG127+AI127)</f>
        <v>9222</v>
      </c>
      <c r="AL127" s="9">
        <f t="shared" si="35"/>
        <v>72000</v>
      </c>
      <c r="AM127" s="258">
        <f t="shared" ref="AM127:AM133" si="36">AK127+AL127</f>
        <v>81222</v>
      </c>
    </row>
    <row r="128" spans="1:39" s="2" customFormat="1" ht="15" x14ac:dyDescent="0.25">
      <c r="A128" s="254"/>
      <c r="B128" s="254">
        <v>4302</v>
      </c>
      <c r="C128" s="269" t="s">
        <v>126</v>
      </c>
      <c r="D128" s="167">
        <v>0</v>
      </c>
      <c r="E128" s="24"/>
      <c r="F128" s="24"/>
      <c r="G128" s="24"/>
      <c r="H128" s="24"/>
      <c r="I128" s="24"/>
      <c r="J128" s="24"/>
      <c r="K128" s="24"/>
      <c r="L128" s="24"/>
      <c r="M128" s="24"/>
      <c r="N128" s="24"/>
      <c r="O128" s="24"/>
      <c r="P128" s="24"/>
      <c r="Q128" s="24"/>
      <c r="R128" s="272">
        <v>80000</v>
      </c>
      <c r="S128" s="272"/>
      <c r="T128" s="272">
        <v>80000</v>
      </c>
      <c r="U128" s="272"/>
      <c r="V128" s="272">
        <v>80000</v>
      </c>
      <c r="W128" s="24"/>
      <c r="X128" s="24"/>
      <c r="Y128" s="24"/>
      <c r="Z128" s="24"/>
      <c r="AA128" s="24"/>
      <c r="AB128" s="27"/>
      <c r="AC128" s="27"/>
      <c r="AD128" s="27"/>
      <c r="AE128" s="27"/>
      <c r="AF128" s="27"/>
      <c r="AG128" s="27"/>
      <c r="AH128" s="27"/>
      <c r="AI128" s="27"/>
      <c r="AJ128" s="27"/>
      <c r="AK128" s="9">
        <f t="shared" si="35"/>
        <v>0</v>
      </c>
      <c r="AL128" s="9">
        <f t="shared" si="35"/>
        <v>240000</v>
      </c>
      <c r="AM128" s="258">
        <f t="shared" si="36"/>
        <v>240000</v>
      </c>
    </row>
    <row r="129" spans="1:39" s="117" customFormat="1" ht="15" x14ac:dyDescent="0.25">
      <c r="A129" s="116"/>
      <c r="B129" s="116">
        <v>4303</v>
      </c>
      <c r="C129" s="269" t="s">
        <v>127</v>
      </c>
      <c r="D129" s="221">
        <v>0</v>
      </c>
      <c r="E129" s="25"/>
      <c r="F129" s="25"/>
      <c r="G129" s="25"/>
      <c r="H129" s="25"/>
      <c r="I129" s="25"/>
      <c r="J129" s="25"/>
      <c r="K129" s="25"/>
      <c r="L129" s="25"/>
      <c r="M129" s="25"/>
      <c r="N129" s="25"/>
      <c r="O129" s="25"/>
      <c r="P129" s="25"/>
      <c r="Q129" s="25"/>
      <c r="R129" s="24"/>
      <c r="S129" s="24"/>
      <c r="T129" s="24"/>
      <c r="U129" s="24"/>
      <c r="V129" s="24"/>
      <c r="W129" s="24"/>
      <c r="X129" s="24"/>
      <c r="Y129" s="24"/>
      <c r="Z129" s="24"/>
      <c r="AA129" s="24">
        <v>84000</v>
      </c>
      <c r="AB129" s="25"/>
      <c r="AC129" s="25"/>
      <c r="AD129" s="25"/>
      <c r="AE129" s="25"/>
      <c r="AF129" s="25"/>
      <c r="AG129" s="25"/>
      <c r="AH129" s="25"/>
      <c r="AI129" s="25"/>
      <c r="AJ129" s="25"/>
      <c r="AK129" s="9">
        <f t="shared" si="35"/>
        <v>84000</v>
      </c>
      <c r="AL129" s="9">
        <f t="shared" si="35"/>
        <v>0</v>
      </c>
      <c r="AM129" s="258">
        <f t="shared" si="36"/>
        <v>84000</v>
      </c>
    </row>
    <row r="130" spans="1:39" s="2" customFormat="1" ht="15" x14ac:dyDescent="0.25">
      <c r="A130" s="254"/>
      <c r="B130" s="254">
        <v>4303</v>
      </c>
      <c r="C130" s="269" t="s">
        <v>123</v>
      </c>
      <c r="D130" s="174">
        <v>341556</v>
      </c>
      <c r="E130" s="27"/>
      <c r="F130" s="27"/>
      <c r="G130" s="27"/>
      <c r="H130" s="27"/>
      <c r="I130" s="27"/>
      <c r="J130" s="27"/>
      <c r="K130" s="27"/>
      <c r="L130" s="27"/>
      <c r="M130" s="27"/>
      <c r="N130" s="27"/>
      <c r="O130" s="27"/>
      <c r="P130" s="27"/>
      <c r="Q130" s="27"/>
      <c r="R130" s="24"/>
      <c r="S130" s="24"/>
      <c r="T130" s="24"/>
      <c r="U130" s="24"/>
      <c r="V130" s="24"/>
      <c r="W130" s="24"/>
      <c r="X130" s="24"/>
      <c r="Y130" s="24"/>
      <c r="Z130" s="24"/>
      <c r="AA130" s="24"/>
      <c r="AB130" s="27"/>
      <c r="AC130" s="27"/>
      <c r="AD130" s="27"/>
      <c r="AE130" s="27"/>
      <c r="AF130" s="27"/>
      <c r="AG130" s="27"/>
      <c r="AH130" s="27"/>
      <c r="AI130" s="27"/>
      <c r="AJ130" s="27"/>
      <c r="AK130" s="9">
        <f t="shared" si="35"/>
        <v>0</v>
      </c>
      <c r="AL130" s="9">
        <f t="shared" si="35"/>
        <v>0</v>
      </c>
      <c r="AM130" s="258">
        <f t="shared" si="36"/>
        <v>0</v>
      </c>
    </row>
    <row r="131" spans="1:39" s="2" customFormat="1" ht="15" x14ac:dyDescent="0.25">
      <c r="A131" s="254"/>
      <c r="B131" s="254">
        <v>4304</v>
      </c>
      <c r="C131" s="269" t="s">
        <v>124</v>
      </c>
      <c r="D131" s="167">
        <v>0</v>
      </c>
      <c r="E131" s="24"/>
      <c r="F131" s="24"/>
      <c r="G131" s="24"/>
      <c r="H131" s="24"/>
      <c r="I131" s="24"/>
      <c r="J131" s="24"/>
      <c r="K131" s="24"/>
      <c r="L131" s="24"/>
      <c r="M131" s="24"/>
      <c r="N131" s="24"/>
      <c r="O131" s="24"/>
      <c r="P131" s="24"/>
      <c r="Q131" s="24"/>
      <c r="R131" s="24"/>
      <c r="S131" s="24"/>
      <c r="T131" s="24"/>
      <c r="U131" s="24"/>
      <c r="V131" s="24"/>
      <c r="W131" s="24"/>
      <c r="X131" s="24"/>
      <c r="Y131" s="271"/>
      <c r="Z131" s="271"/>
      <c r="AA131" s="271">
        <v>54000</v>
      </c>
      <c r="AB131" s="29"/>
      <c r="AC131" s="29"/>
      <c r="AD131" s="29"/>
      <c r="AE131" s="29"/>
      <c r="AF131" s="29"/>
      <c r="AG131" s="29"/>
      <c r="AH131" s="29"/>
      <c r="AI131" s="29"/>
      <c r="AJ131" s="29"/>
      <c r="AK131" s="9">
        <f t="shared" si="35"/>
        <v>54000</v>
      </c>
      <c r="AL131" s="9">
        <f t="shared" si="35"/>
        <v>0</v>
      </c>
      <c r="AM131" s="258">
        <f t="shared" si="36"/>
        <v>54000</v>
      </c>
    </row>
    <row r="132" spans="1:39" s="2" customFormat="1" ht="15" x14ac:dyDescent="0.25">
      <c r="A132" s="254"/>
      <c r="B132" s="254">
        <v>4305</v>
      </c>
      <c r="C132" s="270" t="s">
        <v>223</v>
      </c>
      <c r="D132" s="167">
        <v>143999</v>
      </c>
      <c r="E132" s="24"/>
      <c r="F132" s="24"/>
      <c r="G132" s="24"/>
      <c r="H132" s="24"/>
      <c r="I132" s="24"/>
      <c r="J132" s="24"/>
      <c r="K132" s="24"/>
      <c r="L132" s="24"/>
      <c r="M132" s="24"/>
      <c r="N132" s="24"/>
      <c r="O132" s="24"/>
      <c r="P132" s="24"/>
      <c r="Q132" s="24"/>
      <c r="R132" s="24">
        <v>35000</v>
      </c>
      <c r="S132" s="24"/>
      <c r="T132" s="24">
        <v>35000</v>
      </c>
      <c r="U132" s="24"/>
      <c r="V132" s="24">
        <v>35000</v>
      </c>
      <c r="W132" s="24"/>
      <c r="X132" s="24">
        <v>26110</v>
      </c>
      <c r="Y132" s="271"/>
      <c r="Z132" s="271"/>
      <c r="AA132" s="271"/>
      <c r="AB132" s="29"/>
      <c r="AC132" s="29"/>
      <c r="AD132" s="29"/>
      <c r="AE132" s="29"/>
      <c r="AF132" s="29"/>
      <c r="AG132" s="29"/>
      <c r="AH132" s="29"/>
      <c r="AI132" s="29"/>
      <c r="AJ132" s="29"/>
      <c r="AK132" s="9">
        <f t="shared" si="35"/>
        <v>0</v>
      </c>
      <c r="AL132" s="9">
        <f t="shared" si="35"/>
        <v>131110</v>
      </c>
      <c r="AM132" s="258">
        <f t="shared" si="36"/>
        <v>131110</v>
      </c>
    </row>
    <row r="133" spans="1:39" s="2" customFormat="1" ht="15" x14ac:dyDescent="0.25">
      <c r="A133" s="254"/>
      <c r="B133" s="254">
        <v>4306</v>
      </c>
      <c r="C133" s="270" t="s">
        <v>224</v>
      </c>
      <c r="D133" s="167">
        <v>0</v>
      </c>
      <c r="E133" s="24"/>
      <c r="F133" s="24"/>
      <c r="G133" s="24"/>
      <c r="H133" s="24"/>
      <c r="I133" s="24"/>
      <c r="J133" s="24"/>
      <c r="K133" s="24"/>
      <c r="L133" s="24"/>
      <c r="M133" s="24"/>
      <c r="N133" s="24"/>
      <c r="O133" s="24"/>
      <c r="P133" s="24"/>
      <c r="Q133" s="24"/>
      <c r="R133" s="24"/>
      <c r="S133" s="24"/>
      <c r="T133" s="24"/>
      <c r="U133" s="24"/>
      <c r="V133" s="24"/>
      <c r="W133" s="24"/>
      <c r="X133" s="24"/>
      <c r="Y133" s="271"/>
      <c r="Z133" s="271"/>
      <c r="AA133" s="271">
        <v>36000</v>
      </c>
      <c r="AB133" s="29"/>
      <c r="AC133" s="29"/>
      <c r="AD133" s="29"/>
      <c r="AE133" s="29"/>
      <c r="AF133" s="29"/>
      <c r="AG133" s="29"/>
      <c r="AH133" s="29"/>
      <c r="AI133" s="29"/>
      <c r="AJ133" s="29"/>
      <c r="AK133" s="9">
        <f t="shared" si="35"/>
        <v>36000</v>
      </c>
      <c r="AL133" s="9">
        <f t="shared" si="35"/>
        <v>0</v>
      </c>
      <c r="AM133" s="258">
        <f t="shared" si="36"/>
        <v>36000</v>
      </c>
    </row>
    <row r="134" spans="1:39" s="2" customFormat="1" ht="15" x14ac:dyDescent="0.25">
      <c r="A134" s="254"/>
      <c r="B134" s="254"/>
      <c r="C134" s="223"/>
      <c r="D134" s="167"/>
      <c r="E134" s="24"/>
      <c r="F134" s="24"/>
      <c r="G134" s="24"/>
      <c r="H134" s="24"/>
      <c r="I134" s="24"/>
      <c r="J134" s="24"/>
      <c r="K134" s="24"/>
      <c r="L134" s="24"/>
      <c r="M134" s="24"/>
      <c r="N134" s="24"/>
      <c r="O134" s="24"/>
      <c r="P134" s="24"/>
      <c r="Q134" s="24"/>
      <c r="R134" s="24"/>
      <c r="S134" s="24"/>
      <c r="T134" s="24"/>
      <c r="U134" s="24"/>
      <c r="V134" s="24"/>
      <c r="W134" s="24"/>
      <c r="X134" s="24"/>
      <c r="Y134" s="29"/>
      <c r="Z134" s="29"/>
      <c r="AA134" s="29"/>
      <c r="AB134" s="29"/>
      <c r="AC134" s="29"/>
      <c r="AD134" s="29"/>
      <c r="AE134" s="29"/>
      <c r="AF134" s="29"/>
      <c r="AG134" s="29"/>
      <c r="AH134" s="29"/>
      <c r="AI134" s="29"/>
      <c r="AJ134" s="29"/>
      <c r="AK134" s="24"/>
      <c r="AL134" s="24"/>
      <c r="AM134" s="4"/>
    </row>
    <row r="135" spans="1:39" s="2" customFormat="1" ht="15" x14ac:dyDescent="0.25">
      <c r="A135" s="254"/>
      <c r="B135" s="11">
        <v>4399</v>
      </c>
      <c r="C135" s="225" t="s">
        <v>10</v>
      </c>
      <c r="D135" s="228">
        <f>SUM(D127:D133)</f>
        <v>485555</v>
      </c>
      <c r="E135" s="228">
        <f t="shared" ref="E135:AM135" si="37">SUM(E127:E133)</f>
        <v>0</v>
      </c>
      <c r="F135" s="228">
        <f t="shared" si="37"/>
        <v>0</v>
      </c>
      <c r="G135" s="228">
        <f t="shared" si="37"/>
        <v>0</v>
      </c>
      <c r="H135" s="228">
        <f t="shared" si="37"/>
        <v>0</v>
      </c>
      <c r="I135" s="228">
        <f t="shared" si="37"/>
        <v>0</v>
      </c>
      <c r="J135" s="228">
        <f t="shared" si="37"/>
        <v>0</v>
      </c>
      <c r="K135" s="228">
        <f t="shared" si="37"/>
        <v>0</v>
      </c>
      <c r="L135" s="228">
        <f t="shared" si="37"/>
        <v>0</v>
      </c>
      <c r="M135" s="228">
        <f t="shared" si="37"/>
        <v>0</v>
      </c>
      <c r="N135" s="228">
        <f t="shared" si="37"/>
        <v>0</v>
      </c>
      <c r="O135" s="228">
        <f t="shared" si="37"/>
        <v>0</v>
      </c>
      <c r="P135" s="228">
        <f t="shared" si="37"/>
        <v>72000</v>
      </c>
      <c r="Q135" s="228">
        <f t="shared" si="37"/>
        <v>0</v>
      </c>
      <c r="R135" s="228">
        <f t="shared" si="37"/>
        <v>115000</v>
      </c>
      <c r="S135" s="228">
        <f t="shared" si="37"/>
        <v>0</v>
      </c>
      <c r="T135" s="228">
        <f t="shared" si="37"/>
        <v>115000</v>
      </c>
      <c r="U135" s="228">
        <f t="shared" si="37"/>
        <v>0</v>
      </c>
      <c r="V135" s="228">
        <f t="shared" si="37"/>
        <v>115000</v>
      </c>
      <c r="W135" s="228">
        <f t="shared" si="37"/>
        <v>0</v>
      </c>
      <c r="X135" s="228">
        <f t="shared" si="37"/>
        <v>26110</v>
      </c>
      <c r="Y135" s="228">
        <f t="shared" si="37"/>
        <v>0</v>
      </c>
      <c r="Z135" s="228">
        <f t="shared" si="37"/>
        <v>0</v>
      </c>
      <c r="AA135" s="228">
        <f t="shared" si="37"/>
        <v>183222</v>
      </c>
      <c r="AB135" s="228">
        <f t="shared" si="37"/>
        <v>0</v>
      </c>
      <c r="AC135" s="228">
        <f t="shared" si="37"/>
        <v>0</v>
      </c>
      <c r="AD135" s="228">
        <f t="shared" si="37"/>
        <v>0</v>
      </c>
      <c r="AE135" s="228">
        <f t="shared" si="37"/>
        <v>0</v>
      </c>
      <c r="AF135" s="228">
        <f t="shared" si="37"/>
        <v>0</v>
      </c>
      <c r="AG135" s="228">
        <f t="shared" si="37"/>
        <v>0</v>
      </c>
      <c r="AH135" s="228">
        <f t="shared" si="37"/>
        <v>0</v>
      </c>
      <c r="AI135" s="228">
        <f t="shared" si="37"/>
        <v>0</v>
      </c>
      <c r="AJ135" s="228">
        <f t="shared" si="37"/>
        <v>0</v>
      </c>
      <c r="AK135" s="228">
        <f t="shared" si="37"/>
        <v>183222</v>
      </c>
      <c r="AL135" s="228">
        <f t="shared" si="37"/>
        <v>443110</v>
      </c>
      <c r="AM135" s="228">
        <f t="shared" si="37"/>
        <v>626332</v>
      </c>
    </row>
    <row r="136" spans="1:39" s="117" customFormat="1" ht="15" x14ac:dyDescent="0.25">
      <c r="A136" s="116"/>
      <c r="B136" s="218">
        <v>4999</v>
      </c>
      <c r="C136" s="218" t="s">
        <v>11</v>
      </c>
      <c r="D136" s="229">
        <f t="shared" ref="D136:AM136" si="38">SUM(D125,D135)</f>
        <v>625995</v>
      </c>
      <c r="E136" s="229">
        <f t="shared" si="38"/>
        <v>0</v>
      </c>
      <c r="F136" s="229">
        <f t="shared" si="38"/>
        <v>0</v>
      </c>
      <c r="G136" s="229">
        <f t="shared" si="38"/>
        <v>0</v>
      </c>
      <c r="H136" s="229">
        <f t="shared" si="38"/>
        <v>0</v>
      </c>
      <c r="I136" s="229">
        <f t="shared" si="38"/>
        <v>0</v>
      </c>
      <c r="J136" s="229">
        <f t="shared" si="38"/>
        <v>0</v>
      </c>
      <c r="K136" s="229">
        <f t="shared" si="38"/>
        <v>0</v>
      </c>
      <c r="L136" s="229">
        <f t="shared" si="38"/>
        <v>0</v>
      </c>
      <c r="M136" s="229">
        <f t="shared" si="38"/>
        <v>0</v>
      </c>
      <c r="N136" s="229">
        <f t="shared" si="38"/>
        <v>0</v>
      </c>
      <c r="O136" s="229">
        <f t="shared" si="38"/>
        <v>0</v>
      </c>
      <c r="P136" s="229">
        <f t="shared" si="38"/>
        <v>72000</v>
      </c>
      <c r="Q136" s="229">
        <f t="shared" si="38"/>
        <v>0</v>
      </c>
      <c r="R136" s="229">
        <f t="shared" si="38"/>
        <v>115000</v>
      </c>
      <c r="S136" s="229">
        <f t="shared" si="38"/>
        <v>0</v>
      </c>
      <c r="T136" s="229">
        <f t="shared" si="38"/>
        <v>115000</v>
      </c>
      <c r="U136" s="229">
        <f t="shared" si="38"/>
        <v>0</v>
      </c>
      <c r="V136" s="229">
        <f t="shared" si="38"/>
        <v>115000</v>
      </c>
      <c r="W136" s="229">
        <f t="shared" si="38"/>
        <v>0</v>
      </c>
      <c r="X136" s="229">
        <f t="shared" si="38"/>
        <v>26110</v>
      </c>
      <c r="Y136" s="229">
        <f t="shared" si="38"/>
        <v>0</v>
      </c>
      <c r="Z136" s="229">
        <f t="shared" si="38"/>
        <v>0</v>
      </c>
      <c r="AA136" s="229">
        <f t="shared" si="38"/>
        <v>183222</v>
      </c>
      <c r="AB136" s="229">
        <f t="shared" si="38"/>
        <v>0</v>
      </c>
      <c r="AC136" s="229">
        <f t="shared" si="38"/>
        <v>0</v>
      </c>
      <c r="AD136" s="229">
        <f t="shared" si="38"/>
        <v>0</v>
      </c>
      <c r="AE136" s="229">
        <f t="shared" si="38"/>
        <v>0</v>
      </c>
      <c r="AF136" s="229">
        <f t="shared" si="38"/>
        <v>0</v>
      </c>
      <c r="AG136" s="229">
        <f t="shared" si="38"/>
        <v>0</v>
      </c>
      <c r="AH136" s="229">
        <f t="shared" si="38"/>
        <v>0</v>
      </c>
      <c r="AI136" s="229">
        <f t="shared" si="38"/>
        <v>0</v>
      </c>
      <c r="AJ136" s="229">
        <f t="shared" si="38"/>
        <v>0</v>
      </c>
      <c r="AK136" s="229">
        <f t="shared" si="38"/>
        <v>183222</v>
      </c>
      <c r="AL136" s="229">
        <f t="shared" si="38"/>
        <v>443110</v>
      </c>
      <c r="AM136" s="229">
        <f t="shared" si="38"/>
        <v>626332</v>
      </c>
    </row>
    <row r="137" spans="1:39" s="117" customFormat="1" ht="15" x14ac:dyDescent="0.25">
      <c r="A137" s="116"/>
      <c r="B137" s="116"/>
      <c r="C137" s="120"/>
      <c r="D137" s="221"/>
      <c r="E137" s="25"/>
      <c r="F137" s="25"/>
      <c r="G137" s="25"/>
      <c r="H137" s="25"/>
      <c r="I137" s="25"/>
      <c r="J137" s="25"/>
      <c r="K137" s="25"/>
      <c r="L137" s="25"/>
      <c r="M137" s="25"/>
      <c r="N137" s="25"/>
      <c r="O137" s="25"/>
      <c r="P137" s="25"/>
      <c r="Q137" s="25"/>
      <c r="R137" s="25"/>
      <c r="S137" s="25"/>
      <c r="T137" s="25"/>
      <c r="U137" s="25"/>
      <c r="V137" s="25"/>
      <c r="W137" s="25"/>
      <c r="X137" s="25"/>
      <c r="Y137" s="25"/>
      <c r="Z137" s="25"/>
      <c r="AA137" s="25"/>
      <c r="AB137" s="25"/>
      <c r="AC137" s="25"/>
      <c r="AD137" s="25"/>
      <c r="AE137" s="25"/>
      <c r="AF137" s="25"/>
      <c r="AG137" s="25"/>
      <c r="AH137" s="25"/>
      <c r="AI137" s="25"/>
      <c r="AJ137" s="25"/>
      <c r="AK137" s="25"/>
      <c r="AL137" s="25"/>
      <c r="AM137" s="118"/>
    </row>
    <row r="138" spans="1:39" s="2" customFormat="1" ht="15" x14ac:dyDescent="0.25">
      <c r="A138" s="254">
        <v>50</v>
      </c>
      <c r="B138" s="254">
        <v>5200</v>
      </c>
      <c r="C138" s="224" t="s">
        <v>194</v>
      </c>
      <c r="D138" s="174"/>
      <c r="E138" s="27"/>
      <c r="F138" s="27"/>
      <c r="G138" s="27"/>
      <c r="H138" s="27"/>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4"/>
    </row>
    <row r="139" spans="1:39" s="2" customFormat="1" ht="15" x14ac:dyDescent="0.25">
      <c r="A139" s="254"/>
      <c r="B139" s="254">
        <v>5201</v>
      </c>
      <c r="C139" s="254" t="s">
        <v>200</v>
      </c>
      <c r="D139" s="174">
        <v>70000</v>
      </c>
      <c r="E139" s="27"/>
      <c r="F139" s="27"/>
      <c r="G139" s="27"/>
      <c r="H139" s="27"/>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9">
        <f t="shared" ref="AK139:AL142" si="39">SUM(E139+G139+I139+K139+M139+O139+Q139+S139+U139+W139+Y139+AA139+AC139+AE139+AG139+AI139)</f>
        <v>0</v>
      </c>
      <c r="AL139" s="9">
        <f t="shared" si="39"/>
        <v>0</v>
      </c>
      <c r="AM139" s="258">
        <f t="shared" ref="AM139:AM142" si="40">AK139+AL139</f>
        <v>0</v>
      </c>
    </row>
    <row r="140" spans="1:39" s="2" customFormat="1" ht="15" x14ac:dyDescent="0.25">
      <c r="A140" s="254"/>
      <c r="B140" s="3">
        <v>5202</v>
      </c>
      <c r="C140" s="254" t="s">
        <v>137</v>
      </c>
      <c r="D140" s="174">
        <v>53000</v>
      </c>
      <c r="E140" s="27"/>
      <c r="F140" s="27"/>
      <c r="G140" s="27"/>
      <c r="H140" s="27"/>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9">
        <f t="shared" si="39"/>
        <v>0</v>
      </c>
      <c r="AL140" s="9">
        <f t="shared" si="39"/>
        <v>0</v>
      </c>
      <c r="AM140" s="258">
        <f t="shared" si="40"/>
        <v>0</v>
      </c>
    </row>
    <row r="141" spans="1:39" s="2" customFormat="1" ht="15" x14ac:dyDescent="0.25">
      <c r="A141" s="254"/>
      <c r="B141" s="3">
        <v>5203</v>
      </c>
      <c r="C141" s="254" t="s">
        <v>152</v>
      </c>
      <c r="D141" s="174">
        <v>90000</v>
      </c>
      <c r="E141" s="27"/>
      <c r="F141" s="27"/>
      <c r="G141" s="27"/>
      <c r="H141" s="27"/>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9">
        <f t="shared" si="39"/>
        <v>0</v>
      </c>
      <c r="AL141" s="9">
        <f t="shared" si="39"/>
        <v>0</v>
      </c>
      <c r="AM141" s="258">
        <f t="shared" si="40"/>
        <v>0</v>
      </c>
    </row>
    <row r="142" spans="1:39" s="2" customFormat="1" ht="15" x14ac:dyDescent="0.25">
      <c r="A142" s="254"/>
      <c r="B142" s="3">
        <v>5204</v>
      </c>
      <c r="C142" s="254" t="s">
        <v>144</v>
      </c>
      <c r="D142" s="167">
        <v>35610</v>
      </c>
      <c r="E142" s="24"/>
      <c r="F142" s="24"/>
      <c r="G142" s="24"/>
      <c r="H142" s="24"/>
      <c r="I142" s="24"/>
      <c r="J142" s="24"/>
      <c r="K142" s="24"/>
      <c r="L142" s="24"/>
      <c r="M142" s="24"/>
      <c r="N142" s="24"/>
      <c r="O142" s="24"/>
      <c r="P142" s="24"/>
      <c r="Q142" s="24"/>
      <c r="R142" s="24"/>
      <c r="S142" s="24"/>
      <c r="T142" s="24"/>
      <c r="U142" s="24"/>
      <c r="V142" s="24"/>
      <c r="W142" s="24"/>
      <c r="X142" s="24"/>
      <c r="Y142" s="27"/>
      <c r="Z142" s="27"/>
      <c r="AA142" s="27"/>
      <c r="AB142" s="27"/>
      <c r="AC142" s="27"/>
      <c r="AD142" s="27"/>
      <c r="AE142" s="27"/>
      <c r="AF142" s="27"/>
      <c r="AG142" s="27"/>
      <c r="AH142" s="27"/>
      <c r="AI142" s="27"/>
      <c r="AJ142" s="27"/>
      <c r="AK142" s="9">
        <f t="shared" si="39"/>
        <v>0</v>
      </c>
      <c r="AL142" s="9">
        <f t="shared" si="39"/>
        <v>0</v>
      </c>
      <c r="AM142" s="258">
        <f t="shared" si="40"/>
        <v>0</v>
      </c>
    </row>
    <row r="143" spans="1:39" s="2" customFormat="1" ht="15" x14ac:dyDescent="0.25">
      <c r="A143" s="254"/>
      <c r="B143" s="3"/>
      <c r="C143" s="254"/>
      <c r="D143" s="167"/>
      <c r="E143" s="24"/>
      <c r="F143" s="24"/>
      <c r="G143" s="24"/>
      <c r="H143" s="24"/>
      <c r="I143" s="24"/>
      <c r="J143" s="24"/>
      <c r="K143" s="24"/>
      <c r="L143" s="24"/>
      <c r="M143" s="24"/>
      <c r="N143" s="24"/>
      <c r="O143" s="24"/>
      <c r="P143" s="24"/>
      <c r="Q143" s="24"/>
      <c r="R143" s="24"/>
      <c r="S143" s="24"/>
      <c r="T143" s="24"/>
      <c r="U143" s="24"/>
      <c r="V143" s="24"/>
      <c r="W143" s="24"/>
      <c r="X143" s="24"/>
      <c r="Y143" s="27"/>
      <c r="Z143" s="27"/>
      <c r="AA143" s="27"/>
      <c r="AB143" s="27"/>
      <c r="AC143" s="27"/>
      <c r="AD143" s="27"/>
      <c r="AE143" s="27"/>
      <c r="AF143" s="27"/>
      <c r="AG143" s="27"/>
      <c r="AH143" s="27"/>
      <c r="AI143" s="27"/>
      <c r="AJ143" s="27"/>
      <c r="AK143" s="24"/>
      <c r="AL143" s="24"/>
      <c r="AM143" s="4"/>
    </row>
    <row r="144" spans="1:39" s="2" customFormat="1" ht="15" x14ac:dyDescent="0.25">
      <c r="A144" s="254"/>
      <c r="B144" s="11">
        <v>5299</v>
      </c>
      <c r="C144" s="11" t="s">
        <v>10</v>
      </c>
      <c r="D144" s="228">
        <f>SUM(D139:D142)</f>
        <v>248610</v>
      </c>
      <c r="E144" s="228">
        <f t="shared" ref="E144:AM144" si="41">SUM(E139:E142)</f>
        <v>0</v>
      </c>
      <c r="F144" s="228">
        <f t="shared" si="41"/>
        <v>0</v>
      </c>
      <c r="G144" s="228">
        <f t="shared" si="41"/>
        <v>0</v>
      </c>
      <c r="H144" s="228">
        <f t="shared" si="41"/>
        <v>0</v>
      </c>
      <c r="I144" s="228">
        <f t="shared" si="41"/>
        <v>0</v>
      </c>
      <c r="J144" s="228">
        <f t="shared" si="41"/>
        <v>0</v>
      </c>
      <c r="K144" s="228">
        <f t="shared" si="41"/>
        <v>0</v>
      </c>
      <c r="L144" s="228">
        <f t="shared" si="41"/>
        <v>0</v>
      </c>
      <c r="M144" s="228">
        <f t="shared" si="41"/>
        <v>0</v>
      </c>
      <c r="N144" s="228">
        <f t="shared" si="41"/>
        <v>0</v>
      </c>
      <c r="O144" s="228">
        <f t="shared" si="41"/>
        <v>0</v>
      </c>
      <c r="P144" s="228">
        <f t="shared" si="41"/>
        <v>0</v>
      </c>
      <c r="Q144" s="228">
        <f t="shared" si="41"/>
        <v>0</v>
      </c>
      <c r="R144" s="228">
        <f t="shared" si="41"/>
        <v>0</v>
      </c>
      <c r="S144" s="228">
        <f t="shared" si="41"/>
        <v>0</v>
      </c>
      <c r="T144" s="228">
        <f t="shared" si="41"/>
        <v>0</v>
      </c>
      <c r="U144" s="228">
        <f t="shared" si="41"/>
        <v>0</v>
      </c>
      <c r="V144" s="228">
        <f t="shared" si="41"/>
        <v>0</v>
      </c>
      <c r="W144" s="228">
        <f t="shared" si="41"/>
        <v>0</v>
      </c>
      <c r="X144" s="228">
        <f t="shared" si="41"/>
        <v>0</v>
      </c>
      <c r="Y144" s="228">
        <f t="shared" si="41"/>
        <v>0</v>
      </c>
      <c r="Z144" s="228">
        <f t="shared" si="41"/>
        <v>0</v>
      </c>
      <c r="AA144" s="228">
        <f t="shared" si="41"/>
        <v>0</v>
      </c>
      <c r="AB144" s="228">
        <f t="shared" si="41"/>
        <v>0</v>
      </c>
      <c r="AC144" s="228">
        <f t="shared" si="41"/>
        <v>0</v>
      </c>
      <c r="AD144" s="228">
        <f t="shared" si="41"/>
        <v>0</v>
      </c>
      <c r="AE144" s="228">
        <f t="shared" si="41"/>
        <v>0</v>
      </c>
      <c r="AF144" s="228">
        <f t="shared" si="41"/>
        <v>0</v>
      </c>
      <c r="AG144" s="228">
        <f t="shared" si="41"/>
        <v>0</v>
      </c>
      <c r="AH144" s="228">
        <f t="shared" si="41"/>
        <v>0</v>
      </c>
      <c r="AI144" s="228">
        <f t="shared" si="41"/>
        <v>0</v>
      </c>
      <c r="AJ144" s="228">
        <f t="shared" si="41"/>
        <v>0</v>
      </c>
      <c r="AK144" s="228">
        <f t="shared" si="41"/>
        <v>0</v>
      </c>
      <c r="AL144" s="228">
        <f t="shared" si="41"/>
        <v>0</v>
      </c>
      <c r="AM144" s="228">
        <f t="shared" si="41"/>
        <v>0</v>
      </c>
    </row>
    <row r="145" spans="1:39" s="117" customFormat="1" ht="15" x14ac:dyDescent="0.25">
      <c r="A145" s="116"/>
      <c r="B145" s="116">
        <v>5300</v>
      </c>
      <c r="C145" s="227" t="s">
        <v>195</v>
      </c>
      <c r="D145" s="221"/>
      <c r="E145" s="25"/>
      <c r="F145" s="25"/>
      <c r="G145" s="25"/>
      <c r="H145" s="25"/>
      <c r="I145" s="25"/>
      <c r="J145" s="25"/>
      <c r="K145" s="25"/>
      <c r="L145" s="25"/>
      <c r="M145" s="25"/>
      <c r="N145" s="25"/>
      <c r="O145" s="25"/>
      <c r="P145" s="25"/>
      <c r="Q145" s="25"/>
      <c r="R145" s="25"/>
      <c r="S145" s="25"/>
      <c r="T145" s="25"/>
      <c r="U145" s="25"/>
      <c r="V145" s="25"/>
      <c r="W145" s="25"/>
      <c r="X145" s="25"/>
      <c r="Y145" s="25"/>
      <c r="Z145" s="25"/>
      <c r="AA145" s="25"/>
      <c r="AB145" s="25"/>
      <c r="AC145" s="25"/>
      <c r="AD145" s="25"/>
      <c r="AE145" s="25"/>
      <c r="AF145" s="25"/>
      <c r="AG145" s="25"/>
      <c r="AH145" s="25"/>
      <c r="AI145" s="25"/>
      <c r="AJ145" s="25"/>
      <c r="AK145" s="25"/>
      <c r="AL145" s="25"/>
      <c r="AM145" s="118"/>
    </row>
    <row r="146" spans="1:39" s="2" customFormat="1" ht="15" x14ac:dyDescent="0.25">
      <c r="A146" s="254"/>
      <c r="B146" s="254">
        <v>5301</v>
      </c>
      <c r="C146" s="3" t="s">
        <v>153</v>
      </c>
      <c r="D146" s="174">
        <v>20000</v>
      </c>
      <c r="E146" s="27"/>
      <c r="F146" s="27"/>
      <c r="G146" s="27"/>
      <c r="H146" s="27"/>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9">
        <f t="shared" ref="AK146:AL147" si="42">SUM(E146+G146+I146+K146+M146+O146+Q146+S146+U146+W146+Y146+AA146+AC146+AE146+AG146+AI146)</f>
        <v>0</v>
      </c>
      <c r="AL146" s="9">
        <f t="shared" si="42"/>
        <v>0</v>
      </c>
      <c r="AM146" s="258">
        <f t="shared" ref="AM146:AM147" si="43">AK146+AL146</f>
        <v>0</v>
      </c>
    </row>
    <row r="147" spans="1:39" s="2" customFormat="1" ht="15" x14ac:dyDescent="0.25">
      <c r="A147" s="254"/>
      <c r="B147" s="254">
        <v>5302</v>
      </c>
      <c r="C147" s="137" t="s">
        <v>15</v>
      </c>
      <c r="D147" s="167">
        <v>15000</v>
      </c>
      <c r="E147" s="24"/>
      <c r="F147" s="24"/>
      <c r="G147" s="24"/>
      <c r="H147" s="24"/>
      <c r="I147" s="24"/>
      <c r="J147" s="24"/>
      <c r="K147" s="24"/>
      <c r="L147" s="24"/>
      <c r="M147" s="24"/>
      <c r="N147" s="24"/>
      <c r="O147" s="24"/>
      <c r="P147" s="24"/>
      <c r="Q147" s="24"/>
      <c r="R147" s="24"/>
      <c r="S147" s="24"/>
      <c r="T147" s="24"/>
      <c r="U147" s="24"/>
      <c r="V147" s="24"/>
      <c r="W147" s="24"/>
      <c r="X147" s="24"/>
      <c r="Y147" s="27"/>
      <c r="Z147" s="27"/>
      <c r="AA147" s="27"/>
      <c r="AB147" s="27"/>
      <c r="AC147" s="27"/>
      <c r="AD147" s="27"/>
      <c r="AE147" s="27"/>
      <c r="AF147" s="27"/>
      <c r="AG147" s="27"/>
      <c r="AH147" s="27"/>
      <c r="AI147" s="27"/>
      <c r="AJ147" s="27"/>
      <c r="AK147" s="9">
        <f t="shared" si="42"/>
        <v>0</v>
      </c>
      <c r="AL147" s="9">
        <f t="shared" si="42"/>
        <v>0</v>
      </c>
      <c r="AM147" s="258">
        <f t="shared" si="43"/>
        <v>0</v>
      </c>
    </row>
    <row r="148" spans="1:39" s="2" customFormat="1" ht="15" x14ac:dyDescent="0.25">
      <c r="A148" s="254"/>
      <c r="B148" s="254"/>
      <c r="C148" s="137"/>
      <c r="D148" s="167"/>
      <c r="E148" s="24"/>
      <c r="F148" s="24"/>
      <c r="G148" s="24"/>
      <c r="H148" s="24"/>
      <c r="I148" s="24"/>
      <c r="J148" s="24"/>
      <c r="K148" s="24"/>
      <c r="L148" s="24"/>
      <c r="M148" s="24"/>
      <c r="N148" s="24"/>
      <c r="O148" s="24"/>
      <c r="P148" s="24"/>
      <c r="Q148" s="24"/>
      <c r="R148" s="24"/>
      <c r="S148" s="24"/>
      <c r="T148" s="24"/>
      <c r="U148" s="24"/>
      <c r="V148" s="24"/>
      <c r="W148" s="24"/>
      <c r="X148" s="24"/>
      <c r="Y148" s="27"/>
      <c r="Z148" s="27"/>
      <c r="AA148" s="27"/>
      <c r="AB148" s="27"/>
      <c r="AC148" s="27"/>
      <c r="AD148" s="27"/>
      <c r="AE148" s="27"/>
      <c r="AF148" s="27"/>
      <c r="AG148" s="27"/>
      <c r="AH148" s="27"/>
      <c r="AI148" s="27"/>
      <c r="AJ148" s="27"/>
      <c r="AK148" s="24"/>
      <c r="AL148" s="24"/>
      <c r="AM148" s="4"/>
    </row>
    <row r="149" spans="1:39" s="2" customFormat="1" ht="15" x14ac:dyDescent="0.25">
      <c r="A149" s="254"/>
      <c r="B149" s="11">
        <v>5399</v>
      </c>
      <c r="C149" s="11" t="s">
        <v>10</v>
      </c>
      <c r="D149" s="228">
        <f>SUM(D146:D147)</f>
        <v>35000</v>
      </c>
      <c r="E149" s="228">
        <f t="shared" ref="E149:AM149" si="44">SUM(E146:E147)</f>
        <v>0</v>
      </c>
      <c r="F149" s="228">
        <f t="shared" si="44"/>
        <v>0</v>
      </c>
      <c r="G149" s="228">
        <f t="shared" si="44"/>
        <v>0</v>
      </c>
      <c r="H149" s="228">
        <f t="shared" si="44"/>
        <v>0</v>
      </c>
      <c r="I149" s="228">
        <f t="shared" si="44"/>
        <v>0</v>
      </c>
      <c r="J149" s="228">
        <f t="shared" si="44"/>
        <v>0</v>
      </c>
      <c r="K149" s="228">
        <f t="shared" si="44"/>
        <v>0</v>
      </c>
      <c r="L149" s="228">
        <f t="shared" si="44"/>
        <v>0</v>
      </c>
      <c r="M149" s="228">
        <f t="shared" si="44"/>
        <v>0</v>
      </c>
      <c r="N149" s="228">
        <f t="shared" si="44"/>
        <v>0</v>
      </c>
      <c r="O149" s="228">
        <f t="shared" si="44"/>
        <v>0</v>
      </c>
      <c r="P149" s="228">
        <f t="shared" si="44"/>
        <v>0</v>
      </c>
      <c r="Q149" s="228">
        <f t="shared" si="44"/>
        <v>0</v>
      </c>
      <c r="R149" s="228">
        <f t="shared" si="44"/>
        <v>0</v>
      </c>
      <c r="S149" s="228">
        <f t="shared" si="44"/>
        <v>0</v>
      </c>
      <c r="T149" s="228">
        <f t="shared" si="44"/>
        <v>0</v>
      </c>
      <c r="U149" s="228">
        <f t="shared" si="44"/>
        <v>0</v>
      </c>
      <c r="V149" s="228">
        <f t="shared" si="44"/>
        <v>0</v>
      </c>
      <c r="W149" s="228">
        <f t="shared" si="44"/>
        <v>0</v>
      </c>
      <c r="X149" s="228">
        <f t="shared" si="44"/>
        <v>0</v>
      </c>
      <c r="Y149" s="228">
        <f t="shared" si="44"/>
        <v>0</v>
      </c>
      <c r="Z149" s="228">
        <f t="shared" si="44"/>
        <v>0</v>
      </c>
      <c r="AA149" s="228">
        <f t="shared" si="44"/>
        <v>0</v>
      </c>
      <c r="AB149" s="228">
        <f t="shared" si="44"/>
        <v>0</v>
      </c>
      <c r="AC149" s="228">
        <f t="shared" si="44"/>
        <v>0</v>
      </c>
      <c r="AD149" s="228">
        <f t="shared" si="44"/>
        <v>0</v>
      </c>
      <c r="AE149" s="228">
        <f t="shared" si="44"/>
        <v>0</v>
      </c>
      <c r="AF149" s="228">
        <f t="shared" si="44"/>
        <v>0</v>
      </c>
      <c r="AG149" s="228">
        <f t="shared" si="44"/>
        <v>0</v>
      </c>
      <c r="AH149" s="228">
        <f t="shared" si="44"/>
        <v>0</v>
      </c>
      <c r="AI149" s="228">
        <f t="shared" si="44"/>
        <v>0</v>
      </c>
      <c r="AJ149" s="228">
        <f t="shared" si="44"/>
        <v>0</v>
      </c>
      <c r="AK149" s="228">
        <f t="shared" si="44"/>
        <v>0</v>
      </c>
      <c r="AL149" s="228">
        <f t="shared" si="44"/>
        <v>0</v>
      </c>
      <c r="AM149" s="228">
        <f t="shared" si="44"/>
        <v>0</v>
      </c>
    </row>
    <row r="150" spans="1:39" s="2" customFormat="1" ht="15" x14ac:dyDescent="0.25">
      <c r="A150" s="254"/>
      <c r="B150" s="3"/>
      <c r="C150" s="3"/>
      <c r="D150" s="167"/>
      <c r="E150" s="24"/>
      <c r="F150" s="24"/>
      <c r="G150" s="24"/>
      <c r="H150" s="24"/>
      <c r="I150" s="24"/>
      <c r="J150" s="24"/>
      <c r="K150" s="24"/>
      <c r="L150" s="24"/>
      <c r="M150" s="24"/>
      <c r="N150" s="24"/>
      <c r="O150" s="24"/>
      <c r="P150" s="24"/>
      <c r="Q150" s="24"/>
      <c r="R150" s="24"/>
      <c r="S150" s="24"/>
      <c r="T150" s="24"/>
      <c r="U150" s="24"/>
      <c r="V150" s="24"/>
      <c r="W150" s="24"/>
      <c r="X150" s="24"/>
      <c r="Y150" s="27"/>
      <c r="Z150" s="27"/>
      <c r="AA150" s="27"/>
      <c r="AB150" s="27"/>
      <c r="AC150" s="27"/>
      <c r="AD150" s="27"/>
      <c r="AE150" s="27"/>
      <c r="AF150" s="27"/>
      <c r="AG150" s="27"/>
      <c r="AH150" s="27"/>
      <c r="AI150" s="27"/>
      <c r="AJ150" s="27"/>
      <c r="AK150" s="24"/>
      <c r="AL150" s="24"/>
      <c r="AM150" s="4"/>
    </row>
    <row r="151" spans="1:39" s="2" customFormat="1" ht="15" x14ac:dyDescent="0.25">
      <c r="A151" s="254"/>
      <c r="B151" s="3">
        <v>5400</v>
      </c>
      <c r="C151" s="224" t="s">
        <v>196</v>
      </c>
      <c r="D151" s="167"/>
      <c r="E151" s="24"/>
      <c r="F151" s="24"/>
      <c r="G151" s="24"/>
      <c r="H151" s="24"/>
      <c r="I151" s="24"/>
      <c r="J151" s="24"/>
      <c r="K151" s="24"/>
      <c r="L151" s="24"/>
      <c r="M151" s="24"/>
      <c r="N151" s="24"/>
      <c r="O151" s="24"/>
      <c r="P151" s="24"/>
      <c r="Q151" s="24"/>
      <c r="R151" s="24"/>
      <c r="S151" s="24"/>
      <c r="T151" s="24"/>
      <c r="U151" s="24"/>
      <c r="V151" s="24"/>
      <c r="W151" s="24"/>
      <c r="X151" s="24"/>
      <c r="Y151" s="27"/>
      <c r="Z151" s="27"/>
      <c r="AA151" s="27"/>
      <c r="AB151" s="27"/>
      <c r="AC151" s="27"/>
      <c r="AD151" s="27"/>
      <c r="AE151" s="27"/>
      <c r="AF151" s="27"/>
      <c r="AG151" s="27"/>
      <c r="AH151" s="27"/>
      <c r="AI151" s="27"/>
      <c r="AJ151" s="27"/>
      <c r="AK151" s="24"/>
      <c r="AL151" s="24"/>
      <c r="AM151" s="4"/>
    </row>
    <row r="152" spans="1:39" s="117" customFormat="1" ht="15" x14ac:dyDescent="0.25">
      <c r="A152" s="116"/>
      <c r="B152" s="120">
        <v>5401</v>
      </c>
      <c r="C152" s="116" t="s">
        <v>139</v>
      </c>
      <c r="D152" s="221">
        <v>25000</v>
      </c>
      <c r="E152" s="25"/>
      <c r="F152" s="25"/>
      <c r="G152" s="25"/>
      <c r="H152" s="25"/>
      <c r="I152" s="25"/>
      <c r="J152" s="25"/>
      <c r="K152" s="25"/>
      <c r="L152" s="25"/>
      <c r="M152" s="25"/>
      <c r="N152" s="25"/>
      <c r="O152" s="25"/>
      <c r="P152" s="25"/>
      <c r="Q152" s="25"/>
      <c r="R152" s="25"/>
      <c r="S152" s="25"/>
      <c r="T152" s="25"/>
      <c r="U152" s="25"/>
      <c r="V152" s="25"/>
      <c r="W152" s="25"/>
      <c r="X152" s="25"/>
      <c r="Y152" s="25"/>
      <c r="Z152" s="25"/>
      <c r="AA152" s="25"/>
      <c r="AB152" s="25"/>
      <c r="AC152" s="25"/>
      <c r="AD152" s="25"/>
      <c r="AE152" s="25"/>
      <c r="AF152" s="25"/>
      <c r="AG152" s="25"/>
      <c r="AH152" s="25"/>
      <c r="AI152" s="25"/>
      <c r="AJ152" s="25"/>
      <c r="AK152" s="9">
        <f t="shared" ref="AK152:AL152" si="45">SUM(E152+G152+I152+K152+M152+O152+Q152+S152+U152+W152+Y152+AA152+AC152+AE152+AG152+AI152)</f>
        <v>0</v>
      </c>
      <c r="AL152" s="9">
        <f t="shared" si="45"/>
        <v>0</v>
      </c>
      <c r="AM152" s="258">
        <f t="shared" ref="AM152" si="46">AK152+AL152</f>
        <v>0</v>
      </c>
    </row>
    <row r="153" spans="1:39" s="117" customFormat="1" ht="15" x14ac:dyDescent="0.25">
      <c r="A153" s="116"/>
      <c r="B153" s="120"/>
      <c r="C153" s="120"/>
      <c r="D153" s="221"/>
      <c r="E153" s="25"/>
      <c r="F153" s="25"/>
      <c r="G153" s="25"/>
      <c r="H153" s="25"/>
      <c r="I153" s="25"/>
      <c r="J153" s="25"/>
      <c r="K153" s="25"/>
      <c r="L153" s="25"/>
      <c r="M153" s="25"/>
      <c r="N153" s="25"/>
      <c r="O153" s="25"/>
      <c r="P153" s="25"/>
      <c r="Q153" s="25"/>
      <c r="R153" s="25"/>
      <c r="S153" s="25"/>
      <c r="T153" s="25"/>
      <c r="U153" s="25"/>
      <c r="V153" s="25"/>
      <c r="W153" s="25"/>
      <c r="X153" s="25"/>
      <c r="Y153" s="25"/>
      <c r="Z153" s="25"/>
      <c r="AA153" s="25"/>
      <c r="AB153" s="25"/>
      <c r="AC153" s="25"/>
      <c r="AD153" s="25"/>
      <c r="AE153" s="25"/>
      <c r="AF153" s="25"/>
      <c r="AG153" s="25"/>
      <c r="AH153" s="25"/>
      <c r="AI153" s="25"/>
      <c r="AJ153" s="25"/>
      <c r="AK153" s="25"/>
      <c r="AL153" s="25"/>
      <c r="AM153" s="118"/>
    </row>
    <row r="154" spans="1:39" s="2" customFormat="1" ht="15" x14ac:dyDescent="0.25">
      <c r="A154" s="254"/>
      <c r="B154" s="254">
        <v>5500</v>
      </c>
      <c r="C154" s="224" t="s">
        <v>140</v>
      </c>
      <c r="D154" s="133"/>
      <c r="E154" s="26"/>
      <c r="F154" s="26"/>
      <c r="G154" s="26"/>
      <c r="H154" s="26"/>
      <c r="I154" s="26"/>
      <c r="J154" s="26"/>
      <c r="K154" s="26"/>
      <c r="L154" s="26"/>
      <c r="M154" s="26"/>
      <c r="N154" s="26"/>
      <c r="O154" s="26"/>
      <c r="P154" s="26"/>
      <c r="Q154" s="26"/>
      <c r="R154" s="26"/>
      <c r="S154" s="26"/>
      <c r="T154" s="26"/>
      <c r="U154" s="26"/>
      <c r="V154" s="26"/>
      <c r="W154" s="26"/>
      <c r="X154" s="26"/>
      <c r="Y154" s="26"/>
      <c r="Z154" s="26"/>
      <c r="AA154" s="26"/>
      <c r="AB154" s="26"/>
      <c r="AC154" s="26"/>
      <c r="AD154" s="26"/>
      <c r="AE154" s="26"/>
      <c r="AF154" s="26"/>
      <c r="AG154" s="26"/>
      <c r="AH154" s="26"/>
      <c r="AI154" s="26"/>
      <c r="AJ154" s="26"/>
      <c r="AK154" s="26"/>
      <c r="AL154" s="26"/>
      <c r="AM154" s="4"/>
    </row>
    <row r="155" spans="1:39" s="2" customFormat="1" ht="15" x14ac:dyDescent="0.25">
      <c r="A155" s="254"/>
      <c r="B155" s="254">
        <v>5501</v>
      </c>
      <c r="C155" s="3" t="s">
        <v>121</v>
      </c>
      <c r="D155" s="133">
        <v>60000</v>
      </c>
      <c r="E155" s="26"/>
      <c r="F155" s="26"/>
      <c r="G155" s="26"/>
      <c r="H155" s="26"/>
      <c r="I155" s="26"/>
      <c r="J155" s="26"/>
      <c r="K155" s="26"/>
      <c r="L155" s="26"/>
      <c r="M155" s="26"/>
      <c r="N155" s="26"/>
      <c r="O155" s="26"/>
      <c r="P155" s="26"/>
      <c r="Q155" s="26"/>
      <c r="R155" s="26"/>
      <c r="S155" s="26"/>
      <c r="T155" s="26"/>
      <c r="U155" s="26"/>
      <c r="V155" s="26"/>
      <c r="W155" s="26"/>
      <c r="X155" s="26"/>
      <c r="Y155" s="26"/>
      <c r="Z155" s="26"/>
      <c r="AA155" s="126"/>
      <c r="AB155" s="26"/>
      <c r="AC155" s="26"/>
      <c r="AD155" s="26"/>
      <c r="AE155" s="26"/>
      <c r="AF155" s="26"/>
      <c r="AG155" s="26"/>
      <c r="AH155" s="26"/>
      <c r="AI155" s="26"/>
      <c r="AJ155" s="26"/>
      <c r="AK155" s="9">
        <f t="shared" ref="AK155:AL157" si="47">SUM(E155+G155+I155+K155+M155+O155+Q155+S155+U155+W155+Y155+AA155+AC155+AE155+AG155+AI155)</f>
        <v>0</v>
      </c>
      <c r="AL155" s="9">
        <f t="shared" si="47"/>
        <v>0</v>
      </c>
      <c r="AM155" s="258">
        <f t="shared" ref="AM155:AM157" si="48">AK155+AL155</f>
        <v>0</v>
      </c>
    </row>
    <row r="156" spans="1:39" s="2" customFormat="1" ht="15" x14ac:dyDescent="0.25">
      <c r="A156" s="254"/>
      <c r="B156" s="254">
        <v>5502</v>
      </c>
      <c r="C156" s="270" t="s">
        <v>225</v>
      </c>
      <c r="D156" s="136">
        <v>60000</v>
      </c>
      <c r="E156" s="26"/>
      <c r="F156" s="26"/>
      <c r="G156" s="26"/>
      <c r="H156" s="26"/>
      <c r="I156" s="26"/>
      <c r="J156" s="26"/>
      <c r="K156" s="26"/>
      <c r="L156" s="26"/>
      <c r="M156" s="26"/>
      <c r="N156" s="26"/>
      <c r="O156" s="26"/>
      <c r="P156" s="26"/>
      <c r="Q156" s="26"/>
      <c r="R156" s="273">
        <v>30000</v>
      </c>
      <c r="S156" s="273"/>
      <c r="T156" s="273">
        <v>30000</v>
      </c>
      <c r="U156" s="273"/>
      <c r="V156" s="273">
        <v>30000</v>
      </c>
      <c r="W156" s="273"/>
      <c r="X156" s="273">
        <v>45000</v>
      </c>
      <c r="Y156" s="273"/>
      <c r="Z156" s="273"/>
      <c r="AA156" s="273">
        <v>75000</v>
      </c>
      <c r="AB156" s="26"/>
      <c r="AC156" s="26"/>
      <c r="AD156" s="26"/>
      <c r="AE156" s="26"/>
      <c r="AF156" s="26"/>
      <c r="AG156" s="26"/>
      <c r="AH156" s="26"/>
      <c r="AI156" s="26"/>
      <c r="AJ156" s="26"/>
      <c r="AK156" s="9">
        <f t="shared" si="47"/>
        <v>75000</v>
      </c>
      <c r="AL156" s="9">
        <f t="shared" si="47"/>
        <v>135000</v>
      </c>
      <c r="AM156" s="258">
        <f t="shared" si="48"/>
        <v>210000</v>
      </c>
    </row>
    <row r="157" spans="1:39" s="117" customFormat="1" ht="15" x14ac:dyDescent="0.25">
      <c r="A157" s="116"/>
      <c r="B157" s="116">
        <v>5503</v>
      </c>
      <c r="C157" s="120" t="s">
        <v>128</v>
      </c>
      <c r="D157" s="221">
        <v>36000</v>
      </c>
      <c r="E157" s="121"/>
      <c r="F157" s="121"/>
      <c r="G157" s="121"/>
      <c r="H157" s="121"/>
      <c r="I157" s="121"/>
      <c r="J157" s="121"/>
      <c r="K157" s="121"/>
      <c r="L157" s="121"/>
      <c r="M157" s="121"/>
      <c r="N157" s="121"/>
      <c r="O157" s="121"/>
      <c r="P157" s="121"/>
      <c r="Q157" s="121"/>
      <c r="R157" s="121"/>
      <c r="S157" s="121"/>
      <c r="T157" s="121"/>
      <c r="U157" s="121"/>
      <c r="V157" s="121"/>
      <c r="W157" s="121"/>
      <c r="X157" s="121"/>
      <c r="Y157" s="121"/>
      <c r="Z157" s="121"/>
      <c r="AA157" s="121"/>
      <c r="AB157" s="121"/>
      <c r="AC157" s="121"/>
      <c r="AD157" s="121"/>
      <c r="AE157" s="121"/>
      <c r="AF157" s="121"/>
      <c r="AG157" s="121"/>
      <c r="AH157" s="121"/>
      <c r="AI157" s="121"/>
      <c r="AJ157" s="121"/>
      <c r="AK157" s="9">
        <f t="shared" si="47"/>
        <v>0</v>
      </c>
      <c r="AL157" s="9">
        <f t="shared" si="47"/>
        <v>0</v>
      </c>
      <c r="AM157" s="258">
        <f t="shared" si="48"/>
        <v>0</v>
      </c>
    </row>
    <row r="158" spans="1:39" s="117" customFormat="1" ht="15" x14ac:dyDescent="0.25">
      <c r="A158" s="116"/>
      <c r="B158" s="116"/>
      <c r="C158" s="120"/>
      <c r="D158" s="221"/>
      <c r="E158" s="121"/>
      <c r="F158" s="121"/>
      <c r="G158" s="121"/>
      <c r="H158" s="121"/>
      <c r="I158" s="121"/>
      <c r="J158" s="121"/>
      <c r="K158" s="121"/>
      <c r="L158" s="121"/>
      <c r="M158" s="121"/>
      <c r="N158" s="121"/>
      <c r="O158" s="121"/>
      <c r="P158" s="121"/>
      <c r="Q158" s="121"/>
      <c r="R158" s="121"/>
      <c r="S158" s="121"/>
      <c r="T158" s="121"/>
      <c r="U158" s="121"/>
      <c r="V158" s="121"/>
      <c r="W158" s="121"/>
      <c r="X158" s="121"/>
      <c r="Y158" s="121"/>
      <c r="Z158" s="121"/>
      <c r="AA158" s="121"/>
      <c r="AB158" s="121"/>
      <c r="AC158" s="121"/>
      <c r="AD158" s="121"/>
      <c r="AE158" s="121"/>
      <c r="AF158" s="121"/>
      <c r="AG158" s="121"/>
      <c r="AH158" s="121"/>
      <c r="AI158" s="121"/>
      <c r="AJ158" s="121"/>
      <c r="AK158" s="121"/>
      <c r="AL158" s="121"/>
      <c r="AM158" s="118"/>
    </row>
    <row r="159" spans="1:39" s="2" customFormat="1" ht="15" x14ac:dyDescent="0.25">
      <c r="A159" s="3"/>
      <c r="B159" s="11">
        <v>5599</v>
      </c>
      <c r="C159" s="11" t="s">
        <v>10</v>
      </c>
      <c r="D159" s="230">
        <f>SUM(D152:D157)</f>
        <v>181000</v>
      </c>
      <c r="E159" s="230">
        <f t="shared" ref="E159:AM159" si="49">SUM(E152:E157)</f>
        <v>0</v>
      </c>
      <c r="F159" s="230">
        <f t="shared" si="49"/>
        <v>0</v>
      </c>
      <c r="G159" s="230">
        <f t="shared" si="49"/>
        <v>0</v>
      </c>
      <c r="H159" s="230">
        <f t="shared" si="49"/>
        <v>0</v>
      </c>
      <c r="I159" s="230">
        <f t="shared" si="49"/>
        <v>0</v>
      </c>
      <c r="J159" s="230">
        <f t="shared" si="49"/>
        <v>0</v>
      </c>
      <c r="K159" s="230">
        <f t="shared" si="49"/>
        <v>0</v>
      </c>
      <c r="L159" s="230">
        <f t="shared" si="49"/>
        <v>0</v>
      </c>
      <c r="M159" s="230">
        <f t="shared" si="49"/>
        <v>0</v>
      </c>
      <c r="N159" s="230">
        <f t="shared" si="49"/>
        <v>0</v>
      </c>
      <c r="O159" s="230">
        <f t="shared" si="49"/>
        <v>0</v>
      </c>
      <c r="P159" s="230">
        <f t="shared" si="49"/>
        <v>0</v>
      </c>
      <c r="Q159" s="230">
        <f t="shared" si="49"/>
        <v>0</v>
      </c>
      <c r="R159" s="230">
        <f t="shared" si="49"/>
        <v>30000</v>
      </c>
      <c r="S159" s="230">
        <f t="shared" si="49"/>
        <v>0</v>
      </c>
      <c r="T159" s="230">
        <f t="shared" si="49"/>
        <v>30000</v>
      </c>
      <c r="U159" s="230">
        <f t="shared" si="49"/>
        <v>0</v>
      </c>
      <c r="V159" s="230">
        <f t="shared" si="49"/>
        <v>30000</v>
      </c>
      <c r="W159" s="230">
        <f t="shared" si="49"/>
        <v>0</v>
      </c>
      <c r="X159" s="230">
        <f t="shared" si="49"/>
        <v>45000</v>
      </c>
      <c r="Y159" s="230">
        <f t="shared" si="49"/>
        <v>0</v>
      </c>
      <c r="Z159" s="230">
        <f t="shared" si="49"/>
        <v>0</v>
      </c>
      <c r="AA159" s="230">
        <f t="shared" si="49"/>
        <v>75000</v>
      </c>
      <c r="AB159" s="230">
        <f t="shared" si="49"/>
        <v>0</v>
      </c>
      <c r="AC159" s="230">
        <f t="shared" si="49"/>
        <v>0</v>
      </c>
      <c r="AD159" s="230">
        <f t="shared" si="49"/>
        <v>0</v>
      </c>
      <c r="AE159" s="230">
        <f t="shared" si="49"/>
        <v>0</v>
      </c>
      <c r="AF159" s="230">
        <f t="shared" si="49"/>
        <v>0</v>
      </c>
      <c r="AG159" s="230">
        <f t="shared" si="49"/>
        <v>0</v>
      </c>
      <c r="AH159" s="230">
        <f t="shared" si="49"/>
        <v>0</v>
      </c>
      <c r="AI159" s="230">
        <f t="shared" si="49"/>
        <v>0</v>
      </c>
      <c r="AJ159" s="230">
        <f t="shared" si="49"/>
        <v>0</v>
      </c>
      <c r="AK159" s="230">
        <f t="shared" si="49"/>
        <v>75000</v>
      </c>
      <c r="AL159" s="230">
        <f t="shared" si="49"/>
        <v>135000</v>
      </c>
      <c r="AM159" s="230">
        <f t="shared" si="49"/>
        <v>210000</v>
      </c>
    </row>
    <row r="160" spans="1:39" s="2" customFormat="1" ht="15" x14ac:dyDescent="0.25">
      <c r="A160" s="3"/>
      <c r="B160" s="13">
        <v>5999</v>
      </c>
      <c r="C160" s="218" t="s">
        <v>11</v>
      </c>
      <c r="D160" s="231">
        <f>SUM(D144,D149,D159)</f>
        <v>464610</v>
      </c>
      <c r="E160" s="231">
        <f t="shared" ref="E160:AM160" si="50">SUM(E144,E149,E159)</f>
        <v>0</v>
      </c>
      <c r="F160" s="231">
        <f t="shared" si="50"/>
        <v>0</v>
      </c>
      <c r="G160" s="231">
        <f t="shared" si="50"/>
        <v>0</v>
      </c>
      <c r="H160" s="231">
        <f t="shared" si="50"/>
        <v>0</v>
      </c>
      <c r="I160" s="231">
        <f t="shared" si="50"/>
        <v>0</v>
      </c>
      <c r="J160" s="231">
        <f t="shared" si="50"/>
        <v>0</v>
      </c>
      <c r="K160" s="231">
        <f t="shared" si="50"/>
        <v>0</v>
      </c>
      <c r="L160" s="231">
        <f t="shared" si="50"/>
        <v>0</v>
      </c>
      <c r="M160" s="231">
        <f t="shared" si="50"/>
        <v>0</v>
      </c>
      <c r="N160" s="231">
        <f t="shared" si="50"/>
        <v>0</v>
      </c>
      <c r="O160" s="231">
        <f t="shared" si="50"/>
        <v>0</v>
      </c>
      <c r="P160" s="231">
        <f t="shared" si="50"/>
        <v>0</v>
      </c>
      <c r="Q160" s="231">
        <f t="shared" si="50"/>
        <v>0</v>
      </c>
      <c r="R160" s="231">
        <f t="shared" si="50"/>
        <v>30000</v>
      </c>
      <c r="S160" s="231">
        <f t="shared" si="50"/>
        <v>0</v>
      </c>
      <c r="T160" s="231">
        <f t="shared" si="50"/>
        <v>30000</v>
      </c>
      <c r="U160" s="231">
        <f t="shared" si="50"/>
        <v>0</v>
      </c>
      <c r="V160" s="231">
        <f t="shared" si="50"/>
        <v>30000</v>
      </c>
      <c r="W160" s="231">
        <f t="shared" si="50"/>
        <v>0</v>
      </c>
      <c r="X160" s="231">
        <f t="shared" si="50"/>
        <v>45000</v>
      </c>
      <c r="Y160" s="231">
        <f t="shared" si="50"/>
        <v>0</v>
      </c>
      <c r="Z160" s="231">
        <f t="shared" si="50"/>
        <v>0</v>
      </c>
      <c r="AA160" s="231">
        <f t="shared" si="50"/>
        <v>75000</v>
      </c>
      <c r="AB160" s="231">
        <f t="shared" si="50"/>
        <v>0</v>
      </c>
      <c r="AC160" s="231">
        <f t="shared" si="50"/>
        <v>0</v>
      </c>
      <c r="AD160" s="231">
        <f t="shared" si="50"/>
        <v>0</v>
      </c>
      <c r="AE160" s="231">
        <f t="shared" si="50"/>
        <v>0</v>
      </c>
      <c r="AF160" s="231">
        <f t="shared" si="50"/>
        <v>0</v>
      </c>
      <c r="AG160" s="231">
        <f t="shared" si="50"/>
        <v>0</v>
      </c>
      <c r="AH160" s="231">
        <f t="shared" si="50"/>
        <v>0</v>
      </c>
      <c r="AI160" s="231">
        <f t="shared" si="50"/>
        <v>0</v>
      </c>
      <c r="AJ160" s="231">
        <f t="shared" si="50"/>
        <v>0</v>
      </c>
      <c r="AK160" s="231">
        <f t="shared" si="50"/>
        <v>75000</v>
      </c>
      <c r="AL160" s="231">
        <f t="shared" si="50"/>
        <v>135000</v>
      </c>
      <c r="AM160" s="231">
        <f t="shared" si="50"/>
        <v>210000</v>
      </c>
    </row>
    <row r="161" spans="1:39" s="2" customFormat="1" ht="15" x14ac:dyDescent="0.25">
      <c r="A161" s="3"/>
      <c r="B161" s="254"/>
      <c r="C161" s="3"/>
      <c r="D161" s="133"/>
      <c r="E161" s="122"/>
      <c r="F161" s="122"/>
      <c r="G161" s="122"/>
      <c r="H161" s="122"/>
      <c r="I161" s="122"/>
      <c r="J161" s="122"/>
      <c r="K161" s="122"/>
      <c r="L161" s="122"/>
      <c r="M161" s="122"/>
      <c r="N161" s="122"/>
      <c r="O161" s="122"/>
      <c r="P161" s="122"/>
      <c r="Q161" s="122"/>
      <c r="R161" s="122"/>
      <c r="S161" s="122"/>
      <c r="T161" s="122"/>
      <c r="U161" s="122"/>
      <c r="V161" s="122"/>
      <c r="W161" s="122"/>
      <c r="X161" s="122"/>
      <c r="Y161" s="122"/>
      <c r="Z161" s="122"/>
      <c r="AA161" s="123"/>
      <c r="AB161" s="124"/>
      <c r="AC161" s="122"/>
      <c r="AD161" s="122"/>
      <c r="AE161" s="122"/>
      <c r="AF161" s="122"/>
      <c r="AG161" s="122"/>
      <c r="AH161" s="122"/>
      <c r="AI161" s="122"/>
      <c r="AJ161" s="122"/>
      <c r="AK161" s="122"/>
      <c r="AL161" s="125"/>
      <c r="AM161" s="10"/>
    </row>
    <row r="162" spans="1:39" s="2" customFormat="1" ht="15" x14ac:dyDescent="0.25">
      <c r="A162" s="3"/>
      <c r="B162" s="37">
        <v>99</v>
      </c>
      <c r="C162" s="37" t="s">
        <v>16</v>
      </c>
      <c r="D162" s="220">
        <f>SUM(D51,D101,D115,D136,D160)</f>
        <v>9431762.8244857043</v>
      </c>
      <c r="E162" s="220">
        <f t="shared" ref="E162:AM162" si="51">SUM(E51,E101,E115,E136,E160)</f>
        <v>2013598.0000000005</v>
      </c>
      <c r="F162" s="220">
        <f t="shared" si="51"/>
        <v>0</v>
      </c>
      <c r="G162" s="220">
        <f t="shared" si="51"/>
        <v>5123161.9999999981</v>
      </c>
      <c r="H162" s="220">
        <f t="shared" si="51"/>
        <v>0</v>
      </c>
      <c r="I162" s="220">
        <f t="shared" si="51"/>
        <v>1547339.9999999995</v>
      </c>
      <c r="J162" s="220">
        <f t="shared" si="51"/>
        <v>0</v>
      </c>
      <c r="K162" s="220">
        <f t="shared" si="51"/>
        <v>7404740.0000000019</v>
      </c>
      <c r="L162" s="220">
        <f t="shared" si="51"/>
        <v>0</v>
      </c>
      <c r="M162" s="220">
        <f t="shared" si="51"/>
        <v>6030606</v>
      </c>
      <c r="N162" s="220">
        <f t="shared" si="51"/>
        <v>0</v>
      </c>
      <c r="O162" s="220">
        <f t="shared" si="51"/>
        <v>600000</v>
      </c>
      <c r="P162" s="220">
        <f t="shared" si="51"/>
        <v>400000</v>
      </c>
      <c r="Q162" s="220">
        <f t="shared" si="51"/>
        <v>1212308.0000000002</v>
      </c>
      <c r="R162" s="220">
        <f t="shared" si="51"/>
        <v>528923</v>
      </c>
      <c r="S162" s="220">
        <f t="shared" si="51"/>
        <v>1837120.0000000005</v>
      </c>
      <c r="T162" s="220">
        <f t="shared" si="51"/>
        <v>1610422.0000000009</v>
      </c>
      <c r="U162" s="220">
        <f t="shared" si="51"/>
        <v>2231125.9999999995</v>
      </c>
      <c r="V162" s="220">
        <f t="shared" si="51"/>
        <v>1460655</v>
      </c>
      <c r="W162" s="220">
        <f t="shared" si="51"/>
        <v>0</v>
      </c>
      <c r="X162" s="220">
        <f t="shared" si="51"/>
        <v>1415930.9999999988</v>
      </c>
      <c r="Y162" s="220">
        <f t="shared" si="51"/>
        <v>1200000</v>
      </c>
      <c r="Z162" s="220">
        <f t="shared" si="51"/>
        <v>0</v>
      </c>
      <c r="AA162" s="220">
        <f t="shared" si="51"/>
        <v>3399999.9999999865</v>
      </c>
      <c r="AB162" s="220">
        <f t="shared" si="51"/>
        <v>0</v>
      </c>
      <c r="AC162" s="220">
        <f t="shared" si="51"/>
        <v>0</v>
      </c>
      <c r="AD162" s="220">
        <f t="shared" si="51"/>
        <v>685000</v>
      </c>
      <c r="AE162" s="220">
        <f t="shared" si="51"/>
        <v>0</v>
      </c>
      <c r="AF162" s="220">
        <f t="shared" si="51"/>
        <v>327139</v>
      </c>
      <c r="AG162" s="220">
        <f t="shared" si="51"/>
        <v>0</v>
      </c>
      <c r="AH162" s="220">
        <f t="shared" si="51"/>
        <v>200000</v>
      </c>
      <c r="AI162" s="220">
        <f t="shared" si="51"/>
        <v>1412801.9999999998</v>
      </c>
      <c r="AJ162" s="220">
        <f t="shared" si="51"/>
        <v>0</v>
      </c>
      <c r="AK162" s="220">
        <f t="shared" si="51"/>
        <v>34012801.999999985</v>
      </c>
      <c r="AL162" s="220">
        <f t="shared" si="51"/>
        <v>6628070.0000000009</v>
      </c>
      <c r="AM162" s="220">
        <f t="shared" si="51"/>
        <v>40640872</v>
      </c>
    </row>
    <row r="163" spans="1:39" s="2" customFormat="1" ht="15" x14ac:dyDescent="0.25">
      <c r="A163" s="1"/>
      <c r="B163" s="33"/>
      <c r="D163" s="135"/>
      <c r="AA163" s="44"/>
      <c r="AL163" s="94"/>
      <c r="AM163" s="93"/>
    </row>
    <row r="164" spans="1:39" s="2" customFormat="1" ht="15" x14ac:dyDescent="0.25">
      <c r="A164" s="1"/>
      <c r="B164" s="33"/>
      <c r="C164" s="263"/>
      <c r="D164" s="91" t="s">
        <v>226</v>
      </c>
      <c r="E164" s="34">
        <v>2013598</v>
      </c>
      <c r="F164" s="34">
        <v>0</v>
      </c>
      <c r="G164" s="34">
        <v>5123162</v>
      </c>
      <c r="H164" s="34">
        <v>0</v>
      </c>
      <c r="I164" s="34">
        <v>1547340</v>
      </c>
      <c r="J164" s="34">
        <v>0</v>
      </c>
      <c r="K164" s="34">
        <v>7404740</v>
      </c>
      <c r="L164" s="34">
        <v>0</v>
      </c>
      <c r="M164" s="34">
        <v>6030606</v>
      </c>
      <c r="N164" s="34">
        <v>0</v>
      </c>
      <c r="O164" s="34">
        <v>600000</v>
      </c>
      <c r="P164" s="34">
        <v>400000</v>
      </c>
      <c r="Q164" s="34">
        <v>1212308</v>
      </c>
      <c r="R164" s="34">
        <v>528923</v>
      </c>
      <c r="S164" s="34">
        <v>1837120</v>
      </c>
      <c r="T164" s="34">
        <v>1610422</v>
      </c>
      <c r="U164" s="34">
        <v>2231126</v>
      </c>
      <c r="V164" s="34">
        <v>1460655</v>
      </c>
      <c r="W164" s="34">
        <v>0</v>
      </c>
      <c r="X164" s="34">
        <v>1415931</v>
      </c>
      <c r="Y164" s="34">
        <v>1200000</v>
      </c>
      <c r="Z164" s="34">
        <v>0</v>
      </c>
      <c r="AA164" s="34">
        <v>3400000</v>
      </c>
      <c r="AB164" s="34">
        <v>0</v>
      </c>
      <c r="AC164" s="34">
        <v>0</v>
      </c>
      <c r="AD164" s="34">
        <v>685000</v>
      </c>
      <c r="AE164" s="34">
        <v>0</v>
      </c>
      <c r="AF164" s="34">
        <v>327139</v>
      </c>
      <c r="AG164" s="34">
        <v>0</v>
      </c>
      <c r="AH164" s="34">
        <v>200000</v>
      </c>
      <c r="AI164" s="34">
        <v>1412802</v>
      </c>
      <c r="AJ164" s="34">
        <v>0</v>
      </c>
      <c r="AK164" s="34">
        <v>34012802</v>
      </c>
      <c r="AL164" s="34">
        <v>6628070</v>
      </c>
      <c r="AM164" s="34">
        <v>40640872</v>
      </c>
    </row>
    <row r="165" spans="1:39" s="2" customFormat="1" ht="15" x14ac:dyDescent="0.25">
      <c r="A165" s="1"/>
      <c r="B165" s="33"/>
      <c r="C165" s="110"/>
      <c r="D165" s="110" t="s">
        <v>227</v>
      </c>
      <c r="E165" s="112">
        <f t="shared" ref="E165:AI165" si="52">E162-E164</f>
        <v>0</v>
      </c>
      <c r="F165" s="2">
        <f t="shared" si="52"/>
        <v>0</v>
      </c>
      <c r="G165" s="264">
        <f t="shared" si="52"/>
        <v>0</v>
      </c>
      <c r="H165" s="264">
        <f t="shared" si="52"/>
        <v>0</v>
      </c>
      <c r="I165" s="264">
        <f t="shared" si="52"/>
        <v>0</v>
      </c>
      <c r="J165" s="264">
        <f t="shared" si="52"/>
        <v>0</v>
      </c>
      <c r="K165" s="264">
        <f t="shared" si="52"/>
        <v>0</v>
      </c>
      <c r="L165" s="264">
        <f t="shared" si="52"/>
        <v>0</v>
      </c>
      <c r="M165" s="264">
        <f t="shared" si="52"/>
        <v>0</v>
      </c>
      <c r="N165" s="264">
        <f t="shared" si="52"/>
        <v>0</v>
      </c>
      <c r="O165" s="264">
        <f t="shared" si="52"/>
        <v>0</v>
      </c>
      <c r="P165" s="264">
        <f t="shared" si="52"/>
        <v>0</v>
      </c>
      <c r="Q165" s="264">
        <f t="shared" si="52"/>
        <v>0</v>
      </c>
      <c r="R165" s="265">
        <f t="shared" si="52"/>
        <v>0</v>
      </c>
      <c r="S165" s="264">
        <f t="shared" si="52"/>
        <v>0</v>
      </c>
      <c r="T165" s="265">
        <f t="shared" si="52"/>
        <v>0</v>
      </c>
      <c r="U165" s="264">
        <f t="shared" si="52"/>
        <v>0</v>
      </c>
      <c r="V165" s="265">
        <f t="shared" si="52"/>
        <v>0</v>
      </c>
      <c r="W165" s="264">
        <f t="shared" si="52"/>
        <v>0</v>
      </c>
      <c r="X165" s="264">
        <f t="shared" si="52"/>
        <v>0</v>
      </c>
      <c r="Y165" s="264">
        <f t="shared" si="52"/>
        <v>0</v>
      </c>
      <c r="Z165" s="264">
        <f t="shared" si="52"/>
        <v>0</v>
      </c>
      <c r="AA165" s="265">
        <f t="shared" si="52"/>
        <v>-1.3504177331924438E-8</v>
      </c>
      <c r="AB165" s="264">
        <f t="shared" si="52"/>
        <v>0</v>
      </c>
      <c r="AC165" s="264">
        <f t="shared" si="52"/>
        <v>0</v>
      </c>
      <c r="AD165" s="264">
        <f t="shared" si="52"/>
        <v>0</v>
      </c>
      <c r="AE165" s="264">
        <f t="shared" si="52"/>
        <v>0</v>
      </c>
      <c r="AF165" s="264">
        <f t="shared" si="52"/>
        <v>0</v>
      </c>
      <c r="AG165" s="264">
        <f t="shared" si="52"/>
        <v>0</v>
      </c>
      <c r="AH165" s="264">
        <f t="shared" si="52"/>
        <v>0</v>
      </c>
      <c r="AI165" s="264">
        <f t="shared" si="52"/>
        <v>0</v>
      </c>
      <c r="AJ165" s="265">
        <f>AJ162-AJ164</f>
        <v>0</v>
      </c>
      <c r="AK165" s="265">
        <f t="shared" ref="AK165:AM165" si="53">AK162-AK164</f>
        <v>0</v>
      </c>
      <c r="AL165" s="265">
        <f t="shared" si="53"/>
        <v>0</v>
      </c>
      <c r="AM165" s="265">
        <f t="shared" si="53"/>
        <v>0</v>
      </c>
    </row>
    <row r="166" spans="1:39" ht="15" x14ac:dyDescent="0.25">
      <c r="D166" s="282"/>
    </row>
    <row r="167" spans="1:39" x14ac:dyDescent="0.25">
      <c r="D167" s="266"/>
      <c r="V167" s="266"/>
      <c r="AA167" s="267"/>
    </row>
    <row r="168" spans="1:39" ht="18" x14ac:dyDescent="0.25">
      <c r="D168" s="285"/>
      <c r="V168" s="268"/>
    </row>
    <row r="170" spans="1:39" x14ac:dyDescent="0.25">
      <c r="D170" s="284"/>
    </row>
    <row r="171" spans="1:39" ht="15" x14ac:dyDescent="0.25">
      <c r="D171" s="282"/>
    </row>
  </sheetData>
  <mergeCells count="43">
    <mergeCell ref="D4:AL4"/>
    <mergeCell ref="A1:AL1"/>
    <mergeCell ref="A2:C2"/>
    <mergeCell ref="D2:AL2"/>
    <mergeCell ref="A3:C3"/>
    <mergeCell ref="D3:AL3"/>
    <mergeCell ref="A5:C5"/>
    <mergeCell ref="D5:W5"/>
    <mergeCell ref="W6:AJ6"/>
    <mergeCell ref="AK6:AL6"/>
    <mergeCell ref="A7:B7"/>
    <mergeCell ref="E7:P7"/>
    <mergeCell ref="Q7:V7"/>
    <mergeCell ref="W7:X7"/>
    <mergeCell ref="Y7:Z7"/>
    <mergeCell ref="AA7:AB7"/>
    <mergeCell ref="AE7:AH7"/>
    <mergeCell ref="AI7:AJ7"/>
    <mergeCell ref="AC7:AD7"/>
    <mergeCell ref="AC8:AD8"/>
    <mergeCell ref="AE8:AF8"/>
    <mergeCell ref="AG8:AH8"/>
    <mergeCell ref="AI8:AJ8"/>
    <mergeCell ref="K8:N8"/>
    <mergeCell ref="O8:P8"/>
    <mergeCell ref="Y8:Z8"/>
    <mergeCell ref="AA8:AB8"/>
    <mergeCell ref="B117:C117"/>
    <mergeCell ref="AK8:AL8"/>
    <mergeCell ref="A10:C10"/>
    <mergeCell ref="B11:C11"/>
    <mergeCell ref="B53:C53"/>
    <mergeCell ref="B103:C103"/>
    <mergeCell ref="A9:B9"/>
    <mergeCell ref="Q8:R8"/>
    <mergeCell ref="S8:T8"/>
    <mergeCell ref="U8:V8"/>
    <mergeCell ref="W8:X8"/>
    <mergeCell ref="A8:B8"/>
    <mergeCell ref="D8:D9"/>
    <mergeCell ref="E8:F8"/>
    <mergeCell ref="G8:H8"/>
    <mergeCell ref="I8:J8"/>
  </mergeCells>
  <pageMargins left="0.70866141732283472" right="0.70866141732283472" top="0.74803149606299213" bottom="0.74803149606299213" header="0.31496062992125984" footer="0.31496062992125984"/>
  <pageSetup paperSize="9" scale="7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136"/>
  <sheetViews>
    <sheetView workbookViewId="0">
      <selection activeCell="E5" sqref="E5"/>
    </sheetView>
  </sheetViews>
  <sheetFormatPr defaultRowHeight="15" x14ac:dyDescent="0.25"/>
  <cols>
    <col min="1" max="1" width="9.28515625" style="45" customWidth="1"/>
    <col min="2" max="2" width="34.5703125" style="45" customWidth="1"/>
    <col min="3" max="3" width="14.5703125" style="45" customWidth="1"/>
    <col min="4" max="4" width="18.7109375" style="45" customWidth="1"/>
    <col min="5" max="5" width="19.5703125" style="45" customWidth="1"/>
    <col min="6" max="6" width="18" style="45" customWidth="1"/>
    <col min="7" max="7" width="17.5703125" style="45" customWidth="1"/>
    <col min="8" max="8" width="18.7109375" style="45" customWidth="1"/>
    <col min="9" max="9" width="15.28515625" style="45" customWidth="1"/>
    <col min="10" max="10" width="18.85546875" style="47" customWidth="1"/>
    <col min="11" max="11" width="15" style="48" customWidth="1"/>
    <col min="12" max="12" width="15.28515625" style="48" customWidth="1"/>
    <col min="13" max="13" width="13.28515625" style="48" bestFit="1" customWidth="1"/>
    <col min="14" max="49" width="9.140625" style="48"/>
    <col min="50" max="256" width="9.140625" style="45"/>
    <col min="257" max="257" width="9.28515625" style="45" customWidth="1"/>
    <col min="258" max="258" width="34.5703125" style="45" customWidth="1"/>
    <col min="259" max="259" width="24.140625" style="45" customWidth="1"/>
    <col min="260" max="260" width="18.7109375" style="45" customWidth="1"/>
    <col min="261" max="261" width="19.5703125" style="45" customWidth="1"/>
    <col min="262" max="262" width="23.42578125" style="45" customWidth="1"/>
    <col min="263" max="263" width="20.42578125" style="45" customWidth="1"/>
    <col min="264" max="264" width="20.5703125" style="45" customWidth="1"/>
    <col min="265" max="265" width="25.28515625" style="45" customWidth="1"/>
    <col min="266" max="266" width="18.85546875" style="45" customWidth="1"/>
    <col min="267" max="267" width="15" style="45" customWidth="1"/>
    <col min="268" max="268" width="15.28515625" style="45" customWidth="1"/>
    <col min="269" max="269" width="10.85546875" style="45" bestFit="1" customWidth="1"/>
    <col min="270" max="512" width="9.140625" style="45"/>
    <col min="513" max="513" width="9.28515625" style="45" customWidth="1"/>
    <col min="514" max="514" width="34.5703125" style="45" customWidth="1"/>
    <col min="515" max="515" width="24.140625" style="45" customWidth="1"/>
    <col min="516" max="516" width="18.7109375" style="45" customWidth="1"/>
    <col min="517" max="517" width="19.5703125" style="45" customWidth="1"/>
    <col min="518" max="518" width="23.42578125" style="45" customWidth="1"/>
    <col min="519" max="519" width="20.42578125" style="45" customWidth="1"/>
    <col min="520" max="520" width="20.5703125" style="45" customWidth="1"/>
    <col min="521" max="521" width="25.28515625" style="45" customWidth="1"/>
    <col min="522" max="522" width="18.85546875" style="45" customWidth="1"/>
    <col min="523" max="523" width="15" style="45" customWidth="1"/>
    <col min="524" max="524" width="15.28515625" style="45" customWidth="1"/>
    <col min="525" max="525" width="10.85546875" style="45" bestFit="1" customWidth="1"/>
    <col min="526" max="768" width="9.140625" style="45"/>
    <col min="769" max="769" width="9.28515625" style="45" customWidth="1"/>
    <col min="770" max="770" width="34.5703125" style="45" customWidth="1"/>
    <col min="771" max="771" width="24.140625" style="45" customWidth="1"/>
    <col min="772" max="772" width="18.7109375" style="45" customWidth="1"/>
    <col min="773" max="773" width="19.5703125" style="45" customWidth="1"/>
    <col min="774" max="774" width="23.42578125" style="45" customWidth="1"/>
    <col min="775" max="775" width="20.42578125" style="45" customWidth="1"/>
    <col min="776" max="776" width="20.5703125" style="45" customWidth="1"/>
    <col min="777" max="777" width="25.28515625" style="45" customWidth="1"/>
    <col min="778" max="778" width="18.85546875" style="45" customWidth="1"/>
    <col min="779" max="779" width="15" style="45" customWidth="1"/>
    <col min="780" max="780" width="15.28515625" style="45" customWidth="1"/>
    <col min="781" max="781" width="10.85546875" style="45" bestFit="1" customWidth="1"/>
    <col min="782" max="1024" width="9.140625" style="45"/>
    <col min="1025" max="1025" width="9.28515625" style="45" customWidth="1"/>
    <col min="1026" max="1026" width="34.5703125" style="45" customWidth="1"/>
    <col min="1027" max="1027" width="24.140625" style="45" customWidth="1"/>
    <col min="1028" max="1028" width="18.7109375" style="45" customWidth="1"/>
    <col min="1029" max="1029" width="19.5703125" style="45" customWidth="1"/>
    <col min="1030" max="1030" width="23.42578125" style="45" customWidth="1"/>
    <col min="1031" max="1031" width="20.42578125" style="45" customWidth="1"/>
    <col min="1032" max="1032" width="20.5703125" style="45" customWidth="1"/>
    <col min="1033" max="1033" width="25.28515625" style="45" customWidth="1"/>
    <col min="1034" max="1034" width="18.85546875" style="45" customWidth="1"/>
    <col min="1035" max="1035" width="15" style="45" customWidth="1"/>
    <col min="1036" max="1036" width="15.28515625" style="45" customWidth="1"/>
    <col min="1037" max="1037" width="10.85546875" style="45" bestFit="1" customWidth="1"/>
    <col min="1038" max="1280" width="9.140625" style="45"/>
    <col min="1281" max="1281" width="9.28515625" style="45" customWidth="1"/>
    <col min="1282" max="1282" width="34.5703125" style="45" customWidth="1"/>
    <col min="1283" max="1283" width="24.140625" style="45" customWidth="1"/>
    <col min="1284" max="1284" width="18.7109375" style="45" customWidth="1"/>
    <col min="1285" max="1285" width="19.5703125" style="45" customWidth="1"/>
    <col min="1286" max="1286" width="23.42578125" style="45" customWidth="1"/>
    <col min="1287" max="1287" width="20.42578125" style="45" customWidth="1"/>
    <col min="1288" max="1288" width="20.5703125" style="45" customWidth="1"/>
    <col min="1289" max="1289" width="25.28515625" style="45" customWidth="1"/>
    <col min="1290" max="1290" width="18.85546875" style="45" customWidth="1"/>
    <col min="1291" max="1291" width="15" style="45" customWidth="1"/>
    <col min="1292" max="1292" width="15.28515625" style="45" customWidth="1"/>
    <col min="1293" max="1293" width="10.85546875" style="45" bestFit="1" customWidth="1"/>
    <col min="1294" max="1536" width="9.140625" style="45"/>
    <col min="1537" max="1537" width="9.28515625" style="45" customWidth="1"/>
    <col min="1538" max="1538" width="34.5703125" style="45" customWidth="1"/>
    <col min="1539" max="1539" width="24.140625" style="45" customWidth="1"/>
    <col min="1540" max="1540" width="18.7109375" style="45" customWidth="1"/>
    <col min="1541" max="1541" width="19.5703125" style="45" customWidth="1"/>
    <col min="1542" max="1542" width="23.42578125" style="45" customWidth="1"/>
    <col min="1543" max="1543" width="20.42578125" style="45" customWidth="1"/>
    <col min="1544" max="1544" width="20.5703125" style="45" customWidth="1"/>
    <col min="1545" max="1545" width="25.28515625" style="45" customWidth="1"/>
    <col min="1546" max="1546" width="18.85546875" style="45" customWidth="1"/>
    <col min="1547" max="1547" width="15" style="45" customWidth="1"/>
    <col min="1548" max="1548" width="15.28515625" style="45" customWidth="1"/>
    <col min="1549" max="1549" width="10.85546875" style="45" bestFit="1" customWidth="1"/>
    <col min="1550" max="1792" width="9.140625" style="45"/>
    <col min="1793" max="1793" width="9.28515625" style="45" customWidth="1"/>
    <col min="1794" max="1794" width="34.5703125" style="45" customWidth="1"/>
    <col min="1795" max="1795" width="24.140625" style="45" customWidth="1"/>
    <col min="1796" max="1796" width="18.7109375" style="45" customWidth="1"/>
    <col min="1797" max="1797" width="19.5703125" style="45" customWidth="1"/>
    <col min="1798" max="1798" width="23.42578125" style="45" customWidth="1"/>
    <col min="1799" max="1799" width="20.42578125" style="45" customWidth="1"/>
    <col min="1800" max="1800" width="20.5703125" style="45" customWidth="1"/>
    <col min="1801" max="1801" width="25.28515625" style="45" customWidth="1"/>
    <col min="1802" max="1802" width="18.85546875" style="45" customWidth="1"/>
    <col min="1803" max="1803" width="15" style="45" customWidth="1"/>
    <col min="1804" max="1804" width="15.28515625" style="45" customWidth="1"/>
    <col min="1805" max="1805" width="10.85546875" style="45" bestFit="1" customWidth="1"/>
    <col min="1806" max="2048" width="9.140625" style="45"/>
    <col min="2049" max="2049" width="9.28515625" style="45" customWidth="1"/>
    <col min="2050" max="2050" width="34.5703125" style="45" customWidth="1"/>
    <col min="2051" max="2051" width="24.140625" style="45" customWidth="1"/>
    <col min="2052" max="2052" width="18.7109375" style="45" customWidth="1"/>
    <col min="2053" max="2053" width="19.5703125" style="45" customWidth="1"/>
    <col min="2054" max="2054" width="23.42578125" style="45" customWidth="1"/>
    <col min="2055" max="2055" width="20.42578125" style="45" customWidth="1"/>
    <col min="2056" max="2056" width="20.5703125" style="45" customWidth="1"/>
    <col min="2057" max="2057" width="25.28515625" style="45" customWidth="1"/>
    <col min="2058" max="2058" width="18.85546875" style="45" customWidth="1"/>
    <col min="2059" max="2059" width="15" style="45" customWidth="1"/>
    <col min="2060" max="2060" width="15.28515625" style="45" customWidth="1"/>
    <col min="2061" max="2061" width="10.85546875" style="45" bestFit="1" customWidth="1"/>
    <col min="2062" max="2304" width="9.140625" style="45"/>
    <col min="2305" max="2305" width="9.28515625" style="45" customWidth="1"/>
    <col min="2306" max="2306" width="34.5703125" style="45" customWidth="1"/>
    <col min="2307" max="2307" width="24.140625" style="45" customWidth="1"/>
    <col min="2308" max="2308" width="18.7109375" style="45" customWidth="1"/>
    <col min="2309" max="2309" width="19.5703125" style="45" customWidth="1"/>
    <col min="2310" max="2310" width="23.42578125" style="45" customWidth="1"/>
    <col min="2311" max="2311" width="20.42578125" style="45" customWidth="1"/>
    <col min="2312" max="2312" width="20.5703125" style="45" customWidth="1"/>
    <col min="2313" max="2313" width="25.28515625" style="45" customWidth="1"/>
    <col min="2314" max="2314" width="18.85546875" style="45" customWidth="1"/>
    <col min="2315" max="2315" width="15" style="45" customWidth="1"/>
    <col min="2316" max="2316" width="15.28515625" style="45" customWidth="1"/>
    <col min="2317" max="2317" width="10.85546875" style="45" bestFit="1" customWidth="1"/>
    <col min="2318" max="2560" width="9.140625" style="45"/>
    <col min="2561" max="2561" width="9.28515625" style="45" customWidth="1"/>
    <col min="2562" max="2562" width="34.5703125" style="45" customWidth="1"/>
    <col min="2563" max="2563" width="24.140625" style="45" customWidth="1"/>
    <col min="2564" max="2564" width="18.7109375" style="45" customWidth="1"/>
    <col min="2565" max="2565" width="19.5703125" style="45" customWidth="1"/>
    <col min="2566" max="2566" width="23.42578125" style="45" customWidth="1"/>
    <col min="2567" max="2567" width="20.42578125" style="45" customWidth="1"/>
    <col min="2568" max="2568" width="20.5703125" style="45" customWidth="1"/>
    <col min="2569" max="2569" width="25.28515625" style="45" customWidth="1"/>
    <col min="2570" max="2570" width="18.85546875" style="45" customWidth="1"/>
    <col min="2571" max="2571" width="15" style="45" customWidth="1"/>
    <col min="2572" max="2572" width="15.28515625" style="45" customWidth="1"/>
    <col min="2573" max="2573" width="10.85546875" style="45" bestFit="1" customWidth="1"/>
    <col min="2574" max="2816" width="9.140625" style="45"/>
    <col min="2817" max="2817" width="9.28515625" style="45" customWidth="1"/>
    <col min="2818" max="2818" width="34.5703125" style="45" customWidth="1"/>
    <col min="2819" max="2819" width="24.140625" style="45" customWidth="1"/>
    <col min="2820" max="2820" width="18.7109375" style="45" customWidth="1"/>
    <col min="2821" max="2821" width="19.5703125" style="45" customWidth="1"/>
    <col min="2822" max="2822" width="23.42578125" style="45" customWidth="1"/>
    <col min="2823" max="2823" width="20.42578125" style="45" customWidth="1"/>
    <col min="2824" max="2824" width="20.5703125" style="45" customWidth="1"/>
    <col min="2825" max="2825" width="25.28515625" style="45" customWidth="1"/>
    <col min="2826" max="2826" width="18.85546875" style="45" customWidth="1"/>
    <col min="2827" max="2827" width="15" style="45" customWidth="1"/>
    <col min="2828" max="2828" width="15.28515625" style="45" customWidth="1"/>
    <col min="2829" max="2829" width="10.85546875" style="45" bestFit="1" customWidth="1"/>
    <col min="2830" max="3072" width="9.140625" style="45"/>
    <col min="3073" max="3073" width="9.28515625" style="45" customWidth="1"/>
    <col min="3074" max="3074" width="34.5703125" style="45" customWidth="1"/>
    <col min="3075" max="3075" width="24.140625" style="45" customWidth="1"/>
    <col min="3076" max="3076" width="18.7109375" style="45" customWidth="1"/>
    <col min="3077" max="3077" width="19.5703125" style="45" customWidth="1"/>
    <col min="3078" max="3078" width="23.42578125" style="45" customWidth="1"/>
    <col min="3079" max="3079" width="20.42578125" style="45" customWidth="1"/>
    <col min="3080" max="3080" width="20.5703125" style="45" customWidth="1"/>
    <col min="3081" max="3081" width="25.28515625" style="45" customWidth="1"/>
    <col min="3082" max="3082" width="18.85546875" style="45" customWidth="1"/>
    <col min="3083" max="3083" width="15" style="45" customWidth="1"/>
    <col min="3084" max="3084" width="15.28515625" style="45" customWidth="1"/>
    <col min="3085" max="3085" width="10.85546875" style="45" bestFit="1" customWidth="1"/>
    <col min="3086" max="3328" width="9.140625" style="45"/>
    <col min="3329" max="3329" width="9.28515625" style="45" customWidth="1"/>
    <col min="3330" max="3330" width="34.5703125" style="45" customWidth="1"/>
    <col min="3331" max="3331" width="24.140625" style="45" customWidth="1"/>
    <col min="3332" max="3332" width="18.7109375" style="45" customWidth="1"/>
    <col min="3333" max="3333" width="19.5703125" style="45" customWidth="1"/>
    <col min="3334" max="3334" width="23.42578125" style="45" customWidth="1"/>
    <col min="3335" max="3335" width="20.42578125" style="45" customWidth="1"/>
    <col min="3336" max="3336" width="20.5703125" style="45" customWidth="1"/>
    <col min="3337" max="3337" width="25.28515625" style="45" customWidth="1"/>
    <col min="3338" max="3338" width="18.85546875" style="45" customWidth="1"/>
    <col min="3339" max="3339" width="15" style="45" customWidth="1"/>
    <col min="3340" max="3340" width="15.28515625" style="45" customWidth="1"/>
    <col min="3341" max="3341" width="10.85546875" style="45" bestFit="1" customWidth="1"/>
    <col min="3342" max="3584" width="9.140625" style="45"/>
    <col min="3585" max="3585" width="9.28515625" style="45" customWidth="1"/>
    <col min="3586" max="3586" width="34.5703125" style="45" customWidth="1"/>
    <col min="3587" max="3587" width="24.140625" style="45" customWidth="1"/>
    <col min="3588" max="3588" width="18.7109375" style="45" customWidth="1"/>
    <col min="3589" max="3589" width="19.5703125" style="45" customWidth="1"/>
    <col min="3590" max="3590" width="23.42578125" style="45" customWidth="1"/>
    <col min="3591" max="3591" width="20.42578125" style="45" customWidth="1"/>
    <col min="3592" max="3592" width="20.5703125" style="45" customWidth="1"/>
    <col min="3593" max="3593" width="25.28515625" style="45" customWidth="1"/>
    <col min="3594" max="3594" width="18.85546875" style="45" customWidth="1"/>
    <col min="3595" max="3595" width="15" style="45" customWidth="1"/>
    <col min="3596" max="3596" width="15.28515625" style="45" customWidth="1"/>
    <col min="3597" max="3597" width="10.85546875" style="45" bestFit="1" customWidth="1"/>
    <col min="3598" max="3840" width="9.140625" style="45"/>
    <col min="3841" max="3841" width="9.28515625" style="45" customWidth="1"/>
    <col min="3842" max="3842" width="34.5703125" style="45" customWidth="1"/>
    <col min="3843" max="3843" width="24.140625" style="45" customWidth="1"/>
    <col min="3844" max="3844" width="18.7109375" style="45" customWidth="1"/>
    <col min="3845" max="3845" width="19.5703125" style="45" customWidth="1"/>
    <col min="3846" max="3846" width="23.42578125" style="45" customWidth="1"/>
    <col min="3847" max="3847" width="20.42578125" style="45" customWidth="1"/>
    <col min="3848" max="3848" width="20.5703125" style="45" customWidth="1"/>
    <col min="3849" max="3849" width="25.28515625" style="45" customWidth="1"/>
    <col min="3850" max="3850" width="18.85546875" style="45" customWidth="1"/>
    <col min="3851" max="3851" width="15" style="45" customWidth="1"/>
    <col min="3852" max="3852" width="15.28515625" style="45" customWidth="1"/>
    <col min="3853" max="3853" width="10.85546875" style="45" bestFit="1" customWidth="1"/>
    <col min="3854" max="4096" width="9.140625" style="45"/>
    <col min="4097" max="4097" width="9.28515625" style="45" customWidth="1"/>
    <col min="4098" max="4098" width="34.5703125" style="45" customWidth="1"/>
    <col min="4099" max="4099" width="24.140625" style="45" customWidth="1"/>
    <col min="4100" max="4100" width="18.7109375" style="45" customWidth="1"/>
    <col min="4101" max="4101" width="19.5703125" style="45" customWidth="1"/>
    <col min="4102" max="4102" width="23.42578125" style="45" customWidth="1"/>
    <col min="4103" max="4103" width="20.42578125" style="45" customWidth="1"/>
    <col min="4104" max="4104" width="20.5703125" style="45" customWidth="1"/>
    <col min="4105" max="4105" width="25.28515625" style="45" customWidth="1"/>
    <col min="4106" max="4106" width="18.85546875" style="45" customWidth="1"/>
    <col min="4107" max="4107" width="15" style="45" customWidth="1"/>
    <col min="4108" max="4108" width="15.28515625" style="45" customWidth="1"/>
    <col min="4109" max="4109" width="10.85546875" style="45" bestFit="1" customWidth="1"/>
    <col min="4110" max="4352" width="9.140625" style="45"/>
    <col min="4353" max="4353" width="9.28515625" style="45" customWidth="1"/>
    <col min="4354" max="4354" width="34.5703125" style="45" customWidth="1"/>
    <col min="4355" max="4355" width="24.140625" style="45" customWidth="1"/>
    <col min="4356" max="4356" width="18.7109375" style="45" customWidth="1"/>
    <col min="4357" max="4357" width="19.5703125" style="45" customWidth="1"/>
    <col min="4358" max="4358" width="23.42578125" style="45" customWidth="1"/>
    <col min="4359" max="4359" width="20.42578125" style="45" customWidth="1"/>
    <col min="4360" max="4360" width="20.5703125" style="45" customWidth="1"/>
    <col min="4361" max="4361" width="25.28515625" style="45" customWidth="1"/>
    <col min="4362" max="4362" width="18.85546875" style="45" customWidth="1"/>
    <col min="4363" max="4363" width="15" style="45" customWidth="1"/>
    <col min="4364" max="4364" width="15.28515625" style="45" customWidth="1"/>
    <col min="4365" max="4365" width="10.85546875" style="45" bestFit="1" customWidth="1"/>
    <col min="4366" max="4608" width="9.140625" style="45"/>
    <col min="4609" max="4609" width="9.28515625" style="45" customWidth="1"/>
    <col min="4610" max="4610" width="34.5703125" style="45" customWidth="1"/>
    <col min="4611" max="4611" width="24.140625" style="45" customWidth="1"/>
    <col min="4612" max="4612" width="18.7109375" style="45" customWidth="1"/>
    <col min="4613" max="4613" width="19.5703125" style="45" customWidth="1"/>
    <col min="4614" max="4614" width="23.42578125" style="45" customWidth="1"/>
    <col min="4615" max="4615" width="20.42578125" style="45" customWidth="1"/>
    <col min="4616" max="4616" width="20.5703125" style="45" customWidth="1"/>
    <col min="4617" max="4617" width="25.28515625" style="45" customWidth="1"/>
    <col min="4618" max="4618" width="18.85546875" style="45" customWidth="1"/>
    <col min="4619" max="4619" width="15" style="45" customWidth="1"/>
    <col min="4620" max="4620" width="15.28515625" style="45" customWidth="1"/>
    <col min="4621" max="4621" width="10.85546875" style="45" bestFit="1" customWidth="1"/>
    <col min="4622" max="4864" width="9.140625" style="45"/>
    <col min="4865" max="4865" width="9.28515625" style="45" customWidth="1"/>
    <col min="4866" max="4866" width="34.5703125" style="45" customWidth="1"/>
    <col min="4867" max="4867" width="24.140625" style="45" customWidth="1"/>
    <col min="4868" max="4868" width="18.7109375" style="45" customWidth="1"/>
    <col min="4869" max="4869" width="19.5703125" style="45" customWidth="1"/>
    <col min="4870" max="4870" width="23.42578125" style="45" customWidth="1"/>
    <col min="4871" max="4871" width="20.42578125" style="45" customWidth="1"/>
    <col min="4872" max="4872" width="20.5703125" style="45" customWidth="1"/>
    <col min="4873" max="4873" width="25.28515625" style="45" customWidth="1"/>
    <col min="4874" max="4874" width="18.85546875" style="45" customWidth="1"/>
    <col min="4875" max="4875" width="15" style="45" customWidth="1"/>
    <col min="4876" max="4876" width="15.28515625" style="45" customWidth="1"/>
    <col min="4877" max="4877" width="10.85546875" style="45" bestFit="1" customWidth="1"/>
    <col min="4878" max="5120" width="9.140625" style="45"/>
    <col min="5121" max="5121" width="9.28515625" style="45" customWidth="1"/>
    <col min="5122" max="5122" width="34.5703125" style="45" customWidth="1"/>
    <col min="5123" max="5123" width="24.140625" style="45" customWidth="1"/>
    <col min="5124" max="5124" width="18.7109375" style="45" customWidth="1"/>
    <col min="5125" max="5125" width="19.5703125" style="45" customWidth="1"/>
    <col min="5126" max="5126" width="23.42578125" style="45" customWidth="1"/>
    <col min="5127" max="5127" width="20.42578125" style="45" customWidth="1"/>
    <col min="5128" max="5128" width="20.5703125" style="45" customWidth="1"/>
    <col min="5129" max="5129" width="25.28515625" style="45" customWidth="1"/>
    <col min="5130" max="5130" width="18.85546875" style="45" customWidth="1"/>
    <col min="5131" max="5131" width="15" style="45" customWidth="1"/>
    <col min="5132" max="5132" width="15.28515625" style="45" customWidth="1"/>
    <col min="5133" max="5133" width="10.85546875" style="45" bestFit="1" customWidth="1"/>
    <col min="5134" max="5376" width="9.140625" style="45"/>
    <col min="5377" max="5377" width="9.28515625" style="45" customWidth="1"/>
    <col min="5378" max="5378" width="34.5703125" style="45" customWidth="1"/>
    <col min="5379" max="5379" width="24.140625" style="45" customWidth="1"/>
    <col min="5380" max="5380" width="18.7109375" style="45" customWidth="1"/>
    <col min="5381" max="5381" width="19.5703125" style="45" customWidth="1"/>
    <col min="5382" max="5382" width="23.42578125" style="45" customWidth="1"/>
    <col min="5383" max="5383" width="20.42578125" style="45" customWidth="1"/>
    <col min="5384" max="5384" width="20.5703125" style="45" customWidth="1"/>
    <col min="5385" max="5385" width="25.28515625" style="45" customWidth="1"/>
    <col min="5386" max="5386" width="18.85546875" style="45" customWidth="1"/>
    <col min="5387" max="5387" width="15" style="45" customWidth="1"/>
    <col min="5388" max="5388" width="15.28515625" style="45" customWidth="1"/>
    <col min="5389" max="5389" width="10.85546875" style="45" bestFit="1" customWidth="1"/>
    <col min="5390" max="5632" width="9.140625" style="45"/>
    <col min="5633" max="5633" width="9.28515625" style="45" customWidth="1"/>
    <col min="5634" max="5634" width="34.5703125" style="45" customWidth="1"/>
    <col min="5635" max="5635" width="24.140625" style="45" customWidth="1"/>
    <col min="5636" max="5636" width="18.7109375" style="45" customWidth="1"/>
    <col min="5637" max="5637" width="19.5703125" style="45" customWidth="1"/>
    <col min="5638" max="5638" width="23.42578125" style="45" customWidth="1"/>
    <col min="5639" max="5639" width="20.42578125" style="45" customWidth="1"/>
    <col min="5640" max="5640" width="20.5703125" style="45" customWidth="1"/>
    <col min="5641" max="5641" width="25.28515625" style="45" customWidth="1"/>
    <col min="5642" max="5642" width="18.85546875" style="45" customWidth="1"/>
    <col min="5643" max="5643" width="15" style="45" customWidth="1"/>
    <col min="5644" max="5644" width="15.28515625" style="45" customWidth="1"/>
    <col min="5645" max="5645" width="10.85546875" style="45" bestFit="1" customWidth="1"/>
    <col min="5646" max="5888" width="9.140625" style="45"/>
    <col min="5889" max="5889" width="9.28515625" style="45" customWidth="1"/>
    <col min="5890" max="5890" width="34.5703125" style="45" customWidth="1"/>
    <col min="5891" max="5891" width="24.140625" style="45" customWidth="1"/>
    <col min="5892" max="5892" width="18.7109375" style="45" customWidth="1"/>
    <col min="5893" max="5893" width="19.5703125" style="45" customWidth="1"/>
    <col min="5894" max="5894" width="23.42578125" style="45" customWidth="1"/>
    <col min="5895" max="5895" width="20.42578125" style="45" customWidth="1"/>
    <col min="5896" max="5896" width="20.5703125" style="45" customWidth="1"/>
    <col min="5897" max="5897" width="25.28515625" style="45" customWidth="1"/>
    <col min="5898" max="5898" width="18.85546875" style="45" customWidth="1"/>
    <col min="5899" max="5899" width="15" style="45" customWidth="1"/>
    <col min="5900" max="5900" width="15.28515625" style="45" customWidth="1"/>
    <col min="5901" max="5901" width="10.85546875" style="45" bestFit="1" customWidth="1"/>
    <col min="5902" max="6144" width="9.140625" style="45"/>
    <col min="6145" max="6145" width="9.28515625" style="45" customWidth="1"/>
    <col min="6146" max="6146" width="34.5703125" style="45" customWidth="1"/>
    <col min="6147" max="6147" width="24.140625" style="45" customWidth="1"/>
    <col min="6148" max="6148" width="18.7109375" style="45" customWidth="1"/>
    <col min="6149" max="6149" width="19.5703125" style="45" customWidth="1"/>
    <col min="6150" max="6150" width="23.42578125" style="45" customWidth="1"/>
    <col min="6151" max="6151" width="20.42578125" style="45" customWidth="1"/>
    <col min="6152" max="6152" width="20.5703125" style="45" customWidth="1"/>
    <col min="6153" max="6153" width="25.28515625" style="45" customWidth="1"/>
    <col min="6154" max="6154" width="18.85546875" style="45" customWidth="1"/>
    <col min="6155" max="6155" width="15" style="45" customWidth="1"/>
    <col min="6156" max="6156" width="15.28515625" style="45" customWidth="1"/>
    <col min="6157" max="6157" width="10.85546875" style="45" bestFit="1" customWidth="1"/>
    <col min="6158" max="6400" width="9.140625" style="45"/>
    <col min="6401" max="6401" width="9.28515625" style="45" customWidth="1"/>
    <col min="6402" max="6402" width="34.5703125" style="45" customWidth="1"/>
    <col min="6403" max="6403" width="24.140625" style="45" customWidth="1"/>
    <col min="6404" max="6404" width="18.7109375" style="45" customWidth="1"/>
    <col min="6405" max="6405" width="19.5703125" style="45" customWidth="1"/>
    <col min="6406" max="6406" width="23.42578125" style="45" customWidth="1"/>
    <col min="6407" max="6407" width="20.42578125" style="45" customWidth="1"/>
    <col min="6408" max="6408" width="20.5703125" style="45" customWidth="1"/>
    <col min="6409" max="6409" width="25.28515625" style="45" customWidth="1"/>
    <col min="6410" max="6410" width="18.85546875" style="45" customWidth="1"/>
    <col min="6411" max="6411" width="15" style="45" customWidth="1"/>
    <col min="6412" max="6412" width="15.28515625" style="45" customWidth="1"/>
    <col min="6413" max="6413" width="10.85546875" style="45" bestFit="1" customWidth="1"/>
    <col min="6414" max="6656" width="9.140625" style="45"/>
    <col min="6657" max="6657" width="9.28515625" style="45" customWidth="1"/>
    <col min="6658" max="6658" width="34.5703125" style="45" customWidth="1"/>
    <col min="6659" max="6659" width="24.140625" style="45" customWidth="1"/>
    <col min="6660" max="6660" width="18.7109375" style="45" customWidth="1"/>
    <col min="6661" max="6661" width="19.5703125" style="45" customWidth="1"/>
    <col min="6662" max="6662" width="23.42578125" style="45" customWidth="1"/>
    <col min="6663" max="6663" width="20.42578125" style="45" customWidth="1"/>
    <col min="6664" max="6664" width="20.5703125" style="45" customWidth="1"/>
    <col min="6665" max="6665" width="25.28515625" style="45" customWidth="1"/>
    <col min="6666" max="6666" width="18.85546875" style="45" customWidth="1"/>
    <col min="6667" max="6667" width="15" style="45" customWidth="1"/>
    <col min="6668" max="6668" width="15.28515625" style="45" customWidth="1"/>
    <col min="6669" max="6669" width="10.85546875" style="45" bestFit="1" customWidth="1"/>
    <col min="6670" max="6912" width="9.140625" style="45"/>
    <col min="6913" max="6913" width="9.28515625" style="45" customWidth="1"/>
    <col min="6914" max="6914" width="34.5703125" style="45" customWidth="1"/>
    <col min="6915" max="6915" width="24.140625" style="45" customWidth="1"/>
    <col min="6916" max="6916" width="18.7109375" style="45" customWidth="1"/>
    <col min="6917" max="6917" width="19.5703125" style="45" customWidth="1"/>
    <col min="6918" max="6918" width="23.42578125" style="45" customWidth="1"/>
    <col min="6919" max="6919" width="20.42578125" style="45" customWidth="1"/>
    <col min="6920" max="6920" width="20.5703125" style="45" customWidth="1"/>
    <col min="6921" max="6921" width="25.28515625" style="45" customWidth="1"/>
    <col min="6922" max="6922" width="18.85546875" style="45" customWidth="1"/>
    <col min="6923" max="6923" width="15" style="45" customWidth="1"/>
    <col min="6924" max="6924" width="15.28515625" style="45" customWidth="1"/>
    <col min="6925" max="6925" width="10.85546875" style="45" bestFit="1" customWidth="1"/>
    <col min="6926" max="7168" width="9.140625" style="45"/>
    <col min="7169" max="7169" width="9.28515625" style="45" customWidth="1"/>
    <col min="7170" max="7170" width="34.5703125" style="45" customWidth="1"/>
    <col min="7171" max="7171" width="24.140625" style="45" customWidth="1"/>
    <col min="7172" max="7172" width="18.7109375" style="45" customWidth="1"/>
    <col min="7173" max="7173" width="19.5703125" style="45" customWidth="1"/>
    <col min="7174" max="7174" width="23.42578125" style="45" customWidth="1"/>
    <col min="7175" max="7175" width="20.42578125" style="45" customWidth="1"/>
    <col min="7176" max="7176" width="20.5703125" style="45" customWidth="1"/>
    <col min="7177" max="7177" width="25.28515625" style="45" customWidth="1"/>
    <col min="7178" max="7178" width="18.85546875" style="45" customWidth="1"/>
    <col min="7179" max="7179" width="15" style="45" customWidth="1"/>
    <col min="7180" max="7180" width="15.28515625" style="45" customWidth="1"/>
    <col min="7181" max="7181" width="10.85546875" style="45" bestFit="1" customWidth="1"/>
    <col min="7182" max="7424" width="9.140625" style="45"/>
    <col min="7425" max="7425" width="9.28515625" style="45" customWidth="1"/>
    <col min="7426" max="7426" width="34.5703125" style="45" customWidth="1"/>
    <col min="7427" max="7427" width="24.140625" style="45" customWidth="1"/>
    <col min="7428" max="7428" width="18.7109375" style="45" customWidth="1"/>
    <col min="7429" max="7429" width="19.5703125" style="45" customWidth="1"/>
    <col min="7430" max="7430" width="23.42578125" style="45" customWidth="1"/>
    <col min="7431" max="7431" width="20.42578125" style="45" customWidth="1"/>
    <col min="7432" max="7432" width="20.5703125" style="45" customWidth="1"/>
    <col min="7433" max="7433" width="25.28515625" style="45" customWidth="1"/>
    <col min="7434" max="7434" width="18.85546875" style="45" customWidth="1"/>
    <col min="7435" max="7435" width="15" style="45" customWidth="1"/>
    <col min="7436" max="7436" width="15.28515625" style="45" customWidth="1"/>
    <col min="7437" max="7437" width="10.85546875" style="45" bestFit="1" customWidth="1"/>
    <col min="7438" max="7680" width="9.140625" style="45"/>
    <col min="7681" max="7681" width="9.28515625" style="45" customWidth="1"/>
    <col min="7682" max="7682" width="34.5703125" style="45" customWidth="1"/>
    <col min="7683" max="7683" width="24.140625" style="45" customWidth="1"/>
    <col min="7684" max="7684" width="18.7109375" style="45" customWidth="1"/>
    <col min="7685" max="7685" width="19.5703125" style="45" customWidth="1"/>
    <col min="7686" max="7686" width="23.42578125" style="45" customWidth="1"/>
    <col min="7687" max="7687" width="20.42578125" style="45" customWidth="1"/>
    <col min="7688" max="7688" width="20.5703125" style="45" customWidth="1"/>
    <col min="7689" max="7689" width="25.28515625" style="45" customWidth="1"/>
    <col min="7690" max="7690" width="18.85546875" style="45" customWidth="1"/>
    <col min="7691" max="7691" width="15" style="45" customWidth="1"/>
    <col min="7692" max="7692" width="15.28515625" style="45" customWidth="1"/>
    <col min="7693" max="7693" width="10.85546875" style="45" bestFit="1" customWidth="1"/>
    <col min="7694" max="7936" width="9.140625" style="45"/>
    <col min="7937" max="7937" width="9.28515625" style="45" customWidth="1"/>
    <col min="7938" max="7938" width="34.5703125" style="45" customWidth="1"/>
    <col min="7939" max="7939" width="24.140625" style="45" customWidth="1"/>
    <col min="7940" max="7940" width="18.7109375" style="45" customWidth="1"/>
    <col min="7941" max="7941" width="19.5703125" style="45" customWidth="1"/>
    <col min="7942" max="7942" width="23.42578125" style="45" customWidth="1"/>
    <col min="7943" max="7943" width="20.42578125" style="45" customWidth="1"/>
    <col min="7944" max="7944" width="20.5703125" style="45" customWidth="1"/>
    <col min="7945" max="7945" width="25.28515625" style="45" customWidth="1"/>
    <col min="7946" max="7946" width="18.85546875" style="45" customWidth="1"/>
    <col min="7947" max="7947" width="15" style="45" customWidth="1"/>
    <col min="7948" max="7948" width="15.28515625" style="45" customWidth="1"/>
    <col min="7949" max="7949" width="10.85546875" style="45" bestFit="1" customWidth="1"/>
    <col min="7950" max="8192" width="9.140625" style="45"/>
    <col min="8193" max="8193" width="9.28515625" style="45" customWidth="1"/>
    <col min="8194" max="8194" width="34.5703125" style="45" customWidth="1"/>
    <col min="8195" max="8195" width="24.140625" style="45" customWidth="1"/>
    <col min="8196" max="8196" width="18.7109375" style="45" customWidth="1"/>
    <col min="8197" max="8197" width="19.5703125" style="45" customWidth="1"/>
    <col min="8198" max="8198" width="23.42578125" style="45" customWidth="1"/>
    <col min="8199" max="8199" width="20.42578125" style="45" customWidth="1"/>
    <col min="8200" max="8200" width="20.5703125" style="45" customWidth="1"/>
    <col min="8201" max="8201" width="25.28515625" style="45" customWidth="1"/>
    <col min="8202" max="8202" width="18.85546875" style="45" customWidth="1"/>
    <col min="8203" max="8203" width="15" style="45" customWidth="1"/>
    <col min="8204" max="8204" width="15.28515625" style="45" customWidth="1"/>
    <col min="8205" max="8205" width="10.85546875" style="45" bestFit="1" customWidth="1"/>
    <col min="8206" max="8448" width="9.140625" style="45"/>
    <col min="8449" max="8449" width="9.28515625" style="45" customWidth="1"/>
    <col min="8450" max="8450" width="34.5703125" style="45" customWidth="1"/>
    <col min="8451" max="8451" width="24.140625" style="45" customWidth="1"/>
    <col min="8452" max="8452" width="18.7109375" style="45" customWidth="1"/>
    <col min="8453" max="8453" width="19.5703125" style="45" customWidth="1"/>
    <col min="8454" max="8454" width="23.42578125" style="45" customWidth="1"/>
    <col min="8455" max="8455" width="20.42578125" style="45" customWidth="1"/>
    <col min="8456" max="8456" width="20.5703125" style="45" customWidth="1"/>
    <col min="8457" max="8457" width="25.28515625" style="45" customWidth="1"/>
    <col min="8458" max="8458" width="18.85546875" style="45" customWidth="1"/>
    <col min="8459" max="8459" width="15" style="45" customWidth="1"/>
    <col min="8460" max="8460" width="15.28515625" style="45" customWidth="1"/>
    <col min="8461" max="8461" width="10.85546875" style="45" bestFit="1" customWidth="1"/>
    <col min="8462" max="8704" width="9.140625" style="45"/>
    <col min="8705" max="8705" width="9.28515625" style="45" customWidth="1"/>
    <col min="8706" max="8706" width="34.5703125" style="45" customWidth="1"/>
    <col min="8707" max="8707" width="24.140625" style="45" customWidth="1"/>
    <col min="8708" max="8708" width="18.7109375" style="45" customWidth="1"/>
    <col min="8709" max="8709" width="19.5703125" style="45" customWidth="1"/>
    <col min="8710" max="8710" width="23.42578125" style="45" customWidth="1"/>
    <col min="8711" max="8711" width="20.42578125" style="45" customWidth="1"/>
    <col min="8712" max="8712" width="20.5703125" style="45" customWidth="1"/>
    <col min="8713" max="8713" width="25.28515625" style="45" customWidth="1"/>
    <col min="8714" max="8714" width="18.85546875" style="45" customWidth="1"/>
    <col min="8715" max="8715" width="15" style="45" customWidth="1"/>
    <col min="8716" max="8716" width="15.28515625" style="45" customWidth="1"/>
    <col min="8717" max="8717" width="10.85546875" style="45" bestFit="1" customWidth="1"/>
    <col min="8718" max="8960" width="9.140625" style="45"/>
    <col min="8961" max="8961" width="9.28515625" style="45" customWidth="1"/>
    <col min="8962" max="8962" width="34.5703125" style="45" customWidth="1"/>
    <col min="8963" max="8963" width="24.140625" style="45" customWidth="1"/>
    <col min="8964" max="8964" width="18.7109375" style="45" customWidth="1"/>
    <col min="8965" max="8965" width="19.5703125" style="45" customWidth="1"/>
    <col min="8966" max="8966" width="23.42578125" style="45" customWidth="1"/>
    <col min="8967" max="8967" width="20.42578125" style="45" customWidth="1"/>
    <col min="8968" max="8968" width="20.5703125" style="45" customWidth="1"/>
    <col min="8969" max="8969" width="25.28515625" style="45" customWidth="1"/>
    <col min="8970" max="8970" width="18.85546875" style="45" customWidth="1"/>
    <col min="8971" max="8971" width="15" style="45" customWidth="1"/>
    <col min="8972" max="8972" width="15.28515625" style="45" customWidth="1"/>
    <col min="8973" max="8973" width="10.85546875" style="45" bestFit="1" customWidth="1"/>
    <col min="8974" max="9216" width="9.140625" style="45"/>
    <col min="9217" max="9217" width="9.28515625" style="45" customWidth="1"/>
    <col min="9218" max="9218" width="34.5703125" style="45" customWidth="1"/>
    <col min="9219" max="9219" width="24.140625" style="45" customWidth="1"/>
    <col min="9220" max="9220" width="18.7109375" style="45" customWidth="1"/>
    <col min="9221" max="9221" width="19.5703125" style="45" customWidth="1"/>
    <col min="9222" max="9222" width="23.42578125" style="45" customWidth="1"/>
    <col min="9223" max="9223" width="20.42578125" style="45" customWidth="1"/>
    <col min="9224" max="9224" width="20.5703125" style="45" customWidth="1"/>
    <col min="9225" max="9225" width="25.28515625" style="45" customWidth="1"/>
    <col min="9226" max="9226" width="18.85546875" style="45" customWidth="1"/>
    <col min="9227" max="9227" width="15" style="45" customWidth="1"/>
    <col min="9228" max="9228" width="15.28515625" style="45" customWidth="1"/>
    <col min="9229" max="9229" width="10.85546875" style="45" bestFit="1" customWidth="1"/>
    <col min="9230" max="9472" width="9.140625" style="45"/>
    <col min="9473" max="9473" width="9.28515625" style="45" customWidth="1"/>
    <col min="9474" max="9474" width="34.5703125" style="45" customWidth="1"/>
    <col min="9475" max="9475" width="24.140625" style="45" customWidth="1"/>
    <col min="9476" max="9476" width="18.7109375" style="45" customWidth="1"/>
    <col min="9477" max="9477" width="19.5703125" style="45" customWidth="1"/>
    <col min="9478" max="9478" width="23.42578125" style="45" customWidth="1"/>
    <col min="9479" max="9479" width="20.42578125" style="45" customWidth="1"/>
    <col min="9480" max="9480" width="20.5703125" style="45" customWidth="1"/>
    <col min="9481" max="9481" width="25.28515625" style="45" customWidth="1"/>
    <col min="9482" max="9482" width="18.85546875" style="45" customWidth="1"/>
    <col min="9483" max="9483" width="15" style="45" customWidth="1"/>
    <col min="9484" max="9484" width="15.28515625" style="45" customWidth="1"/>
    <col min="9485" max="9485" width="10.85546875" style="45" bestFit="1" customWidth="1"/>
    <col min="9486" max="9728" width="9.140625" style="45"/>
    <col min="9729" max="9729" width="9.28515625" style="45" customWidth="1"/>
    <col min="9730" max="9730" width="34.5703125" style="45" customWidth="1"/>
    <col min="9731" max="9731" width="24.140625" style="45" customWidth="1"/>
    <col min="9732" max="9732" width="18.7109375" style="45" customWidth="1"/>
    <col min="9733" max="9733" width="19.5703125" style="45" customWidth="1"/>
    <col min="9734" max="9734" width="23.42578125" style="45" customWidth="1"/>
    <col min="9735" max="9735" width="20.42578125" style="45" customWidth="1"/>
    <col min="9736" max="9736" width="20.5703125" style="45" customWidth="1"/>
    <col min="9737" max="9737" width="25.28515625" style="45" customWidth="1"/>
    <col min="9738" max="9738" width="18.85546875" style="45" customWidth="1"/>
    <col min="9739" max="9739" width="15" style="45" customWidth="1"/>
    <col min="9740" max="9740" width="15.28515625" style="45" customWidth="1"/>
    <col min="9741" max="9741" width="10.85546875" style="45" bestFit="1" customWidth="1"/>
    <col min="9742" max="9984" width="9.140625" style="45"/>
    <col min="9985" max="9985" width="9.28515625" style="45" customWidth="1"/>
    <col min="9986" max="9986" width="34.5703125" style="45" customWidth="1"/>
    <col min="9987" max="9987" width="24.140625" style="45" customWidth="1"/>
    <col min="9988" max="9988" width="18.7109375" style="45" customWidth="1"/>
    <col min="9989" max="9989" width="19.5703125" style="45" customWidth="1"/>
    <col min="9990" max="9990" width="23.42578125" style="45" customWidth="1"/>
    <col min="9991" max="9991" width="20.42578125" style="45" customWidth="1"/>
    <col min="9992" max="9992" width="20.5703125" style="45" customWidth="1"/>
    <col min="9993" max="9993" width="25.28515625" style="45" customWidth="1"/>
    <col min="9994" max="9994" width="18.85546875" style="45" customWidth="1"/>
    <col min="9995" max="9995" width="15" style="45" customWidth="1"/>
    <col min="9996" max="9996" width="15.28515625" style="45" customWidth="1"/>
    <col min="9997" max="9997" width="10.85546875" style="45" bestFit="1" customWidth="1"/>
    <col min="9998" max="10240" width="9.140625" style="45"/>
    <col min="10241" max="10241" width="9.28515625" style="45" customWidth="1"/>
    <col min="10242" max="10242" width="34.5703125" style="45" customWidth="1"/>
    <col min="10243" max="10243" width="24.140625" style="45" customWidth="1"/>
    <col min="10244" max="10244" width="18.7109375" style="45" customWidth="1"/>
    <col min="10245" max="10245" width="19.5703125" style="45" customWidth="1"/>
    <col min="10246" max="10246" width="23.42578125" style="45" customWidth="1"/>
    <col min="10247" max="10247" width="20.42578125" style="45" customWidth="1"/>
    <col min="10248" max="10248" width="20.5703125" style="45" customWidth="1"/>
    <col min="10249" max="10249" width="25.28515625" style="45" customWidth="1"/>
    <col min="10250" max="10250" width="18.85546875" style="45" customWidth="1"/>
    <col min="10251" max="10251" width="15" style="45" customWidth="1"/>
    <col min="10252" max="10252" width="15.28515625" style="45" customWidth="1"/>
    <col min="10253" max="10253" width="10.85546875" style="45" bestFit="1" customWidth="1"/>
    <col min="10254" max="10496" width="9.140625" style="45"/>
    <col min="10497" max="10497" width="9.28515625" style="45" customWidth="1"/>
    <col min="10498" max="10498" width="34.5703125" style="45" customWidth="1"/>
    <col min="10499" max="10499" width="24.140625" style="45" customWidth="1"/>
    <col min="10500" max="10500" width="18.7109375" style="45" customWidth="1"/>
    <col min="10501" max="10501" width="19.5703125" style="45" customWidth="1"/>
    <col min="10502" max="10502" width="23.42578125" style="45" customWidth="1"/>
    <col min="10503" max="10503" width="20.42578125" style="45" customWidth="1"/>
    <col min="10504" max="10504" width="20.5703125" style="45" customWidth="1"/>
    <col min="10505" max="10505" width="25.28515625" style="45" customWidth="1"/>
    <col min="10506" max="10506" width="18.85546875" style="45" customWidth="1"/>
    <col min="10507" max="10507" width="15" style="45" customWidth="1"/>
    <col min="10508" max="10508" width="15.28515625" style="45" customWidth="1"/>
    <col min="10509" max="10509" width="10.85546875" style="45" bestFit="1" customWidth="1"/>
    <col min="10510" max="10752" width="9.140625" style="45"/>
    <col min="10753" max="10753" width="9.28515625" style="45" customWidth="1"/>
    <col min="10754" max="10754" width="34.5703125" style="45" customWidth="1"/>
    <col min="10755" max="10755" width="24.140625" style="45" customWidth="1"/>
    <col min="10756" max="10756" width="18.7109375" style="45" customWidth="1"/>
    <col min="10757" max="10757" width="19.5703125" style="45" customWidth="1"/>
    <col min="10758" max="10758" width="23.42578125" style="45" customWidth="1"/>
    <col min="10759" max="10759" width="20.42578125" style="45" customWidth="1"/>
    <col min="10760" max="10760" width="20.5703125" style="45" customWidth="1"/>
    <col min="10761" max="10761" width="25.28515625" style="45" customWidth="1"/>
    <col min="10762" max="10762" width="18.85546875" style="45" customWidth="1"/>
    <col min="10763" max="10763" width="15" style="45" customWidth="1"/>
    <col min="10764" max="10764" width="15.28515625" style="45" customWidth="1"/>
    <col min="10765" max="10765" width="10.85546875" style="45" bestFit="1" customWidth="1"/>
    <col min="10766" max="11008" width="9.140625" style="45"/>
    <col min="11009" max="11009" width="9.28515625" style="45" customWidth="1"/>
    <col min="11010" max="11010" width="34.5703125" style="45" customWidth="1"/>
    <col min="11011" max="11011" width="24.140625" style="45" customWidth="1"/>
    <col min="11012" max="11012" width="18.7109375" style="45" customWidth="1"/>
    <col min="11013" max="11013" width="19.5703125" style="45" customWidth="1"/>
    <col min="11014" max="11014" width="23.42578125" style="45" customWidth="1"/>
    <col min="11015" max="11015" width="20.42578125" style="45" customWidth="1"/>
    <col min="11016" max="11016" width="20.5703125" style="45" customWidth="1"/>
    <col min="11017" max="11017" width="25.28515625" style="45" customWidth="1"/>
    <col min="11018" max="11018" width="18.85546875" style="45" customWidth="1"/>
    <col min="11019" max="11019" width="15" style="45" customWidth="1"/>
    <col min="11020" max="11020" width="15.28515625" style="45" customWidth="1"/>
    <col min="11021" max="11021" width="10.85546875" style="45" bestFit="1" customWidth="1"/>
    <col min="11022" max="11264" width="9.140625" style="45"/>
    <col min="11265" max="11265" width="9.28515625" style="45" customWidth="1"/>
    <col min="11266" max="11266" width="34.5703125" style="45" customWidth="1"/>
    <col min="11267" max="11267" width="24.140625" style="45" customWidth="1"/>
    <col min="11268" max="11268" width="18.7109375" style="45" customWidth="1"/>
    <col min="11269" max="11269" width="19.5703125" style="45" customWidth="1"/>
    <col min="11270" max="11270" width="23.42578125" style="45" customWidth="1"/>
    <col min="11271" max="11271" width="20.42578125" style="45" customWidth="1"/>
    <col min="11272" max="11272" width="20.5703125" style="45" customWidth="1"/>
    <col min="11273" max="11273" width="25.28515625" style="45" customWidth="1"/>
    <col min="11274" max="11274" width="18.85546875" style="45" customWidth="1"/>
    <col min="11275" max="11275" width="15" style="45" customWidth="1"/>
    <col min="11276" max="11276" width="15.28515625" style="45" customWidth="1"/>
    <col min="11277" max="11277" width="10.85546875" style="45" bestFit="1" customWidth="1"/>
    <col min="11278" max="11520" width="9.140625" style="45"/>
    <col min="11521" max="11521" width="9.28515625" style="45" customWidth="1"/>
    <col min="11522" max="11522" width="34.5703125" style="45" customWidth="1"/>
    <col min="11523" max="11523" width="24.140625" style="45" customWidth="1"/>
    <col min="11524" max="11524" width="18.7109375" style="45" customWidth="1"/>
    <col min="11525" max="11525" width="19.5703125" style="45" customWidth="1"/>
    <col min="11526" max="11526" width="23.42578125" style="45" customWidth="1"/>
    <col min="11527" max="11527" width="20.42578125" style="45" customWidth="1"/>
    <col min="11528" max="11528" width="20.5703125" style="45" customWidth="1"/>
    <col min="11529" max="11529" width="25.28515625" style="45" customWidth="1"/>
    <col min="11530" max="11530" width="18.85546875" style="45" customWidth="1"/>
    <col min="11531" max="11531" width="15" style="45" customWidth="1"/>
    <col min="11532" max="11532" width="15.28515625" style="45" customWidth="1"/>
    <col min="11533" max="11533" width="10.85546875" style="45" bestFit="1" customWidth="1"/>
    <col min="11534" max="11776" width="9.140625" style="45"/>
    <col min="11777" max="11777" width="9.28515625" style="45" customWidth="1"/>
    <col min="11778" max="11778" width="34.5703125" style="45" customWidth="1"/>
    <col min="11779" max="11779" width="24.140625" style="45" customWidth="1"/>
    <col min="11780" max="11780" width="18.7109375" style="45" customWidth="1"/>
    <col min="11781" max="11781" width="19.5703125" style="45" customWidth="1"/>
    <col min="11782" max="11782" width="23.42578125" style="45" customWidth="1"/>
    <col min="11783" max="11783" width="20.42578125" style="45" customWidth="1"/>
    <col min="11784" max="11784" width="20.5703125" style="45" customWidth="1"/>
    <col min="11785" max="11785" width="25.28515625" style="45" customWidth="1"/>
    <col min="11786" max="11786" width="18.85546875" style="45" customWidth="1"/>
    <col min="11787" max="11787" width="15" style="45" customWidth="1"/>
    <col min="11788" max="11788" width="15.28515625" style="45" customWidth="1"/>
    <col min="11789" max="11789" width="10.85546875" style="45" bestFit="1" customWidth="1"/>
    <col min="11790" max="12032" width="9.140625" style="45"/>
    <col min="12033" max="12033" width="9.28515625" style="45" customWidth="1"/>
    <col min="12034" max="12034" width="34.5703125" style="45" customWidth="1"/>
    <col min="12035" max="12035" width="24.140625" style="45" customWidth="1"/>
    <col min="12036" max="12036" width="18.7109375" style="45" customWidth="1"/>
    <col min="12037" max="12037" width="19.5703125" style="45" customWidth="1"/>
    <col min="12038" max="12038" width="23.42578125" style="45" customWidth="1"/>
    <col min="12039" max="12039" width="20.42578125" style="45" customWidth="1"/>
    <col min="12040" max="12040" width="20.5703125" style="45" customWidth="1"/>
    <col min="12041" max="12041" width="25.28515625" style="45" customWidth="1"/>
    <col min="12042" max="12042" width="18.85546875" style="45" customWidth="1"/>
    <col min="12043" max="12043" width="15" style="45" customWidth="1"/>
    <col min="12044" max="12044" width="15.28515625" style="45" customWidth="1"/>
    <col min="12045" max="12045" width="10.85546875" style="45" bestFit="1" customWidth="1"/>
    <col min="12046" max="12288" width="9.140625" style="45"/>
    <col min="12289" max="12289" width="9.28515625" style="45" customWidth="1"/>
    <col min="12290" max="12290" width="34.5703125" style="45" customWidth="1"/>
    <col min="12291" max="12291" width="24.140625" style="45" customWidth="1"/>
    <col min="12292" max="12292" width="18.7109375" style="45" customWidth="1"/>
    <col min="12293" max="12293" width="19.5703125" style="45" customWidth="1"/>
    <col min="12294" max="12294" width="23.42578125" style="45" customWidth="1"/>
    <col min="12295" max="12295" width="20.42578125" style="45" customWidth="1"/>
    <col min="12296" max="12296" width="20.5703125" style="45" customWidth="1"/>
    <col min="12297" max="12297" width="25.28515625" style="45" customWidth="1"/>
    <col min="12298" max="12298" width="18.85546875" style="45" customWidth="1"/>
    <col min="12299" max="12299" width="15" style="45" customWidth="1"/>
    <col min="12300" max="12300" width="15.28515625" style="45" customWidth="1"/>
    <col min="12301" max="12301" width="10.85546875" style="45" bestFit="1" customWidth="1"/>
    <col min="12302" max="12544" width="9.140625" style="45"/>
    <col min="12545" max="12545" width="9.28515625" style="45" customWidth="1"/>
    <col min="12546" max="12546" width="34.5703125" style="45" customWidth="1"/>
    <col min="12547" max="12547" width="24.140625" style="45" customWidth="1"/>
    <col min="12548" max="12548" width="18.7109375" style="45" customWidth="1"/>
    <col min="12549" max="12549" width="19.5703125" style="45" customWidth="1"/>
    <col min="12550" max="12550" width="23.42578125" style="45" customWidth="1"/>
    <col min="12551" max="12551" width="20.42578125" style="45" customWidth="1"/>
    <col min="12552" max="12552" width="20.5703125" style="45" customWidth="1"/>
    <col min="12553" max="12553" width="25.28515625" style="45" customWidth="1"/>
    <col min="12554" max="12554" width="18.85546875" style="45" customWidth="1"/>
    <col min="12555" max="12555" width="15" style="45" customWidth="1"/>
    <col min="12556" max="12556" width="15.28515625" style="45" customWidth="1"/>
    <col min="12557" max="12557" width="10.85546875" style="45" bestFit="1" customWidth="1"/>
    <col min="12558" max="12800" width="9.140625" style="45"/>
    <col min="12801" max="12801" width="9.28515625" style="45" customWidth="1"/>
    <col min="12802" max="12802" width="34.5703125" style="45" customWidth="1"/>
    <col min="12803" max="12803" width="24.140625" style="45" customWidth="1"/>
    <col min="12804" max="12804" width="18.7109375" style="45" customWidth="1"/>
    <col min="12805" max="12805" width="19.5703125" style="45" customWidth="1"/>
    <col min="12806" max="12806" width="23.42578125" style="45" customWidth="1"/>
    <col min="12807" max="12807" width="20.42578125" style="45" customWidth="1"/>
    <col min="12808" max="12808" width="20.5703125" style="45" customWidth="1"/>
    <col min="12809" max="12809" width="25.28515625" style="45" customWidth="1"/>
    <col min="12810" max="12810" width="18.85546875" style="45" customWidth="1"/>
    <col min="12811" max="12811" width="15" style="45" customWidth="1"/>
    <col min="12812" max="12812" width="15.28515625" style="45" customWidth="1"/>
    <col min="12813" max="12813" width="10.85546875" style="45" bestFit="1" customWidth="1"/>
    <col min="12814" max="13056" width="9.140625" style="45"/>
    <col min="13057" max="13057" width="9.28515625" style="45" customWidth="1"/>
    <col min="13058" max="13058" width="34.5703125" style="45" customWidth="1"/>
    <col min="13059" max="13059" width="24.140625" style="45" customWidth="1"/>
    <col min="13060" max="13060" width="18.7109375" style="45" customWidth="1"/>
    <col min="13061" max="13061" width="19.5703125" style="45" customWidth="1"/>
    <col min="13062" max="13062" width="23.42578125" style="45" customWidth="1"/>
    <col min="13063" max="13063" width="20.42578125" style="45" customWidth="1"/>
    <col min="13064" max="13064" width="20.5703125" style="45" customWidth="1"/>
    <col min="13065" max="13065" width="25.28515625" style="45" customWidth="1"/>
    <col min="13066" max="13066" width="18.85546875" style="45" customWidth="1"/>
    <col min="13067" max="13067" width="15" style="45" customWidth="1"/>
    <col min="13068" max="13068" width="15.28515625" style="45" customWidth="1"/>
    <col min="13069" max="13069" width="10.85546875" style="45" bestFit="1" customWidth="1"/>
    <col min="13070" max="13312" width="9.140625" style="45"/>
    <col min="13313" max="13313" width="9.28515625" style="45" customWidth="1"/>
    <col min="13314" max="13314" width="34.5703125" style="45" customWidth="1"/>
    <col min="13315" max="13315" width="24.140625" style="45" customWidth="1"/>
    <col min="13316" max="13316" width="18.7109375" style="45" customWidth="1"/>
    <col min="13317" max="13317" width="19.5703125" style="45" customWidth="1"/>
    <col min="13318" max="13318" width="23.42578125" style="45" customWidth="1"/>
    <col min="13319" max="13319" width="20.42578125" style="45" customWidth="1"/>
    <col min="13320" max="13320" width="20.5703125" style="45" customWidth="1"/>
    <col min="13321" max="13321" width="25.28515625" style="45" customWidth="1"/>
    <col min="13322" max="13322" width="18.85546875" style="45" customWidth="1"/>
    <col min="13323" max="13323" width="15" style="45" customWidth="1"/>
    <col min="13324" max="13324" width="15.28515625" style="45" customWidth="1"/>
    <col min="13325" max="13325" width="10.85546875" style="45" bestFit="1" customWidth="1"/>
    <col min="13326" max="13568" width="9.140625" style="45"/>
    <col min="13569" max="13569" width="9.28515625" style="45" customWidth="1"/>
    <col min="13570" max="13570" width="34.5703125" style="45" customWidth="1"/>
    <col min="13571" max="13571" width="24.140625" style="45" customWidth="1"/>
    <col min="13572" max="13572" width="18.7109375" style="45" customWidth="1"/>
    <col min="13573" max="13573" width="19.5703125" style="45" customWidth="1"/>
    <col min="13574" max="13574" width="23.42578125" style="45" customWidth="1"/>
    <col min="13575" max="13575" width="20.42578125" style="45" customWidth="1"/>
    <col min="13576" max="13576" width="20.5703125" style="45" customWidth="1"/>
    <col min="13577" max="13577" width="25.28515625" style="45" customWidth="1"/>
    <col min="13578" max="13578" width="18.85546875" style="45" customWidth="1"/>
    <col min="13579" max="13579" width="15" style="45" customWidth="1"/>
    <col min="13580" max="13580" width="15.28515625" style="45" customWidth="1"/>
    <col min="13581" max="13581" width="10.85546875" style="45" bestFit="1" customWidth="1"/>
    <col min="13582" max="13824" width="9.140625" style="45"/>
    <col min="13825" max="13825" width="9.28515625" style="45" customWidth="1"/>
    <col min="13826" max="13826" width="34.5703125" style="45" customWidth="1"/>
    <col min="13827" max="13827" width="24.140625" style="45" customWidth="1"/>
    <col min="13828" max="13828" width="18.7109375" style="45" customWidth="1"/>
    <col min="13829" max="13829" width="19.5703125" style="45" customWidth="1"/>
    <col min="13830" max="13830" width="23.42578125" style="45" customWidth="1"/>
    <col min="13831" max="13831" width="20.42578125" style="45" customWidth="1"/>
    <col min="13832" max="13832" width="20.5703125" style="45" customWidth="1"/>
    <col min="13833" max="13833" width="25.28515625" style="45" customWidth="1"/>
    <col min="13834" max="13834" width="18.85546875" style="45" customWidth="1"/>
    <col min="13835" max="13835" width="15" style="45" customWidth="1"/>
    <col min="13836" max="13836" width="15.28515625" style="45" customWidth="1"/>
    <col min="13837" max="13837" width="10.85546875" style="45" bestFit="1" customWidth="1"/>
    <col min="13838" max="14080" width="9.140625" style="45"/>
    <col min="14081" max="14081" width="9.28515625" style="45" customWidth="1"/>
    <col min="14082" max="14082" width="34.5703125" style="45" customWidth="1"/>
    <col min="14083" max="14083" width="24.140625" style="45" customWidth="1"/>
    <col min="14084" max="14084" width="18.7109375" style="45" customWidth="1"/>
    <col min="14085" max="14085" width="19.5703125" style="45" customWidth="1"/>
    <col min="14086" max="14086" width="23.42578125" style="45" customWidth="1"/>
    <col min="14087" max="14087" width="20.42578125" style="45" customWidth="1"/>
    <col min="14088" max="14088" width="20.5703125" style="45" customWidth="1"/>
    <col min="14089" max="14089" width="25.28515625" style="45" customWidth="1"/>
    <col min="14090" max="14090" width="18.85546875" style="45" customWidth="1"/>
    <col min="14091" max="14091" width="15" style="45" customWidth="1"/>
    <col min="14092" max="14092" width="15.28515625" style="45" customWidth="1"/>
    <col min="14093" max="14093" width="10.85546875" style="45" bestFit="1" customWidth="1"/>
    <col min="14094" max="14336" width="9.140625" style="45"/>
    <col min="14337" max="14337" width="9.28515625" style="45" customWidth="1"/>
    <col min="14338" max="14338" width="34.5703125" style="45" customWidth="1"/>
    <col min="14339" max="14339" width="24.140625" style="45" customWidth="1"/>
    <col min="14340" max="14340" width="18.7109375" style="45" customWidth="1"/>
    <col min="14341" max="14341" width="19.5703125" style="45" customWidth="1"/>
    <col min="14342" max="14342" width="23.42578125" style="45" customWidth="1"/>
    <col min="14343" max="14343" width="20.42578125" style="45" customWidth="1"/>
    <col min="14344" max="14344" width="20.5703125" style="45" customWidth="1"/>
    <col min="14345" max="14345" width="25.28515625" style="45" customWidth="1"/>
    <col min="14346" max="14346" width="18.85546875" style="45" customWidth="1"/>
    <col min="14347" max="14347" width="15" style="45" customWidth="1"/>
    <col min="14348" max="14348" width="15.28515625" style="45" customWidth="1"/>
    <col min="14349" max="14349" width="10.85546875" style="45" bestFit="1" customWidth="1"/>
    <col min="14350" max="14592" width="9.140625" style="45"/>
    <col min="14593" max="14593" width="9.28515625" style="45" customWidth="1"/>
    <col min="14594" max="14594" width="34.5703125" style="45" customWidth="1"/>
    <col min="14595" max="14595" width="24.140625" style="45" customWidth="1"/>
    <col min="14596" max="14596" width="18.7109375" style="45" customWidth="1"/>
    <col min="14597" max="14597" width="19.5703125" style="45" customWidth="1"/>
    <col min="14598" max="14598" width="23.42578125" style="45" customWidth="1"/>
    <col min="14599" max="14599" width="20.42578125" style="45" customWidth="1"/>
    <col min="14600" max="14600" width="20.5703125" style="45" customWidth="1"/>
    <col min="14601" max="14601" width="25.28515625" style="45" customWidth="1"/>
    <col min="14602" max="14602" width="18.85546875" style="45" customWidth="1"/>
    <col min="14603" max="14603" width="15" style="45" customWidth="1"/>
    <col min="14604" max="14604" width="15.28515625" style="45" customWidth="1"/>
    <col min="14605" max="14605" width="10.85546875" style="45" bestFit="1" customWidth="1"/>
    <col min="14606" max="14848" width="9.140625" style="45"/>
    <col min="14849" max="14849" width="9.28515625" style="45" customWidth="1"/>
    <col min="14850" max="14850" width="34.5703125" style="45" customWidth="1"/>
    <col min="14851" max="14851" width="24.140625" style="45" customWidth="1"/>
    <col min="14852" max="14852" width="18.7109375" style="45" customWidth="1"/>
    <col min="14853" max="14853" width="19.5703125" style="45" customWidth="1"/>
    <col min="14854" max="14854" width="23.42578125" style="45" customWidth="1"/>
    <col min="14855" max="14855" width="20.42578125" style="45" customWidth="1"/>
    <col min="14856" max="14856" width="20.5703125" style="45" customWidth="1"/>
    <col min="14857" max="14857" width="25.28515625" style="45" customWidth="1"/>
    <col min="14858" max="14858" width="18.85546875" style="45" customWidth="1"/>
    <col min="14859" max="14859" width="15" style="45" customWidth="1"/>
    <col min="14860" max="14860" width="15.28515625" style="45" customWidth="1"/>
    <col min="14861" max="14861" width="10.85546875" style="45" bestFit="1" customWidth="1"/>
    <col min="14862" max="15104" width="9.140625" style="45"/>
    <col min="15105" max="15105" width="9.28515625" style="45" customWidth="1"/>
    <col min="15106" max="15106" width="34.5703125" style="45" customWidth="1"/>
    <col min="15107" max="15107" width="24.140625" style="45" customWidth="1"/>
    <col min="15108" max="15108" width="18.7109375" style="45" customWidth="1"/>
    <col min="15109" max="15109" width="19.5703125" style="45" customWidth="1"/>
    <col min="15110" max="15110" width="23.42578125" style="45" customWidth="1"/>
    <col min="15111" max="15111" width="20.42578125" style="45" customWidth="1"/>
    <col min="15112" max="15112" width="20.5703125" style="45" customWidth="1"/>
    <col min="15113" max="15113" width="25.28515625" style="45" customWidth="1"/>
    <col min="15114" max="15114" width="18.85546875" style="45" customWidth="1"/>
    <col min="15115" max="15115" width="15" style="45" customWidth="1"/>
    <col min="15116" max="15116" width="15.28515625" style="45" customWidth="1"/>
    <col min="15117" max="15117" width="10.85546875" style="45" bestFit="1" customWidth="1"/>
    <col min="15118" max="15360" width="9.140625" style="45"/>
    <col min="15361" max="15361" width="9.28515625" style="45" customWidth="1"/>
    <col min="15362" max="15362" width="34.5703125" style="45" customWidth="1"/>
    <col min="15363" max="15363" width="24.140625" style="45" customWidth="1"/>
    <col min="15364" max="15364" width="18.7109375" style="45" customWidth="1"/>
    <col min="15365" max="15365" width="19.5703125" style="45" customWidth="1"/>
    <col min="15366" max="15366" width="23.42578125" style="45" customWidth="1"/>
    <col min="15367" max="15367" width="20.42578125" style="45" customWidth="1"/>
    <col min="15368" max="15368" width="20.5703125" style="45" customWidth="1"/>
    <col min="15369" max="15369" width="25.28515625" style="45" customWidth="1"/>
    <col min="15370" max="15370" width="18.85546875" style="45" customWidth="1"/>
    <col min="15371" max="15371" width="15" style="45" customWidth="1"/>
    <col min="15372" max="15372" width="15.28515625" style="45" customWidth="1"/>
    <col min="15373" max="15373" width="10.85546875" style="45" bestFit="1" customWidth="1"/>
    <col min="15374" max="15616" width="9.140625" style="45"/>
    <col min="15617" max="15617" width="9.28515625" style="45" customWidth="1"/>
    <col min="15618" max="15618" width="34.5703125" style="45" customWidth="1"/>
    <col min="15619" max="15619" width="24.140625" style="45" customWidth="1"/>
    <col min="15620" max="15620" width="18.7109375" style="45" customWidth="1"/>
    <col min="15621" max="15621" width="19.5703125" style="45" customWidth="1"/>
    <col min="15622" max="15622" width="23.42578125" style="45" customWidth="1"/>
    <col min="15623" max="15623" width="20.42578125" style="45" customWidth="1"/>
    <col min="15624" max="15624" width="20.5703125" style="45" customWidth="1"/>
    <col min="15625" max="15625" width="25.28515625" style="45" customWidth="1"/>
    <col min="15626" max="15626" width="18.85546875" style="45" customWidth="1"/>
    <col min="15627" max="15627" width="15" style="45" customWidth="1"/>
    <col min="15628" max="15628" width="15.28515625" style="45" customWidth="1"/>
    <col min="15629" max="15629" width="10.85546875" style="45" bestFit="1" customWidth="1"/>
    <col min="15630" max="15872" width="9.140625" style="45"/>
    <col min="15873" max="15873" width="9.28515625" style="45" customWidth="1"/>
    <col min="15874" max="15874" width="34.5703125" style="45" customWidth="1"/>
    <col min="15875" max="15875" width="24.140625" style="45" customWidth="1"/>
    <col min="15876" max="15876" width="18.7109375" style="45" customWidth="1"/>
    <col min="15877" max="15877" width="19.5703125" style="45" customWidth="1"/>
    <col min="15878" max="15878" width="23.42578125" style="45" customWidth="1"/>
    <col min="15879" max="15879" width="20.42578125" style="45" customWidth="1"/>
    <col min="15880" max="15880" width="20.5703125" style="45" customWidth="1"/>
    <col min="15881" max="15881" width="25.28515625" style="45" customWidth="1"/>
    <col min="15882" max="15882" width="18.85546875" style="45" customWidth="1"/>
    <col min="15883" max="15883" width="15" style="45" customWidth="1"/>
    <col min="15884" max="15884" width="15.28515625" style="45" customWidth="1"/>
    <col min="15885" max="15885" width="10.85546875" style="45" bestFit="1" customWidth="1"/>
    <col min="15886" max="16128" width="9.140625" style="45"/>
    <col min="16129" max="16129" width="9.28515625" style="45" customWidth="1"/>
    <col min="16130" max="16130" width="34.5703125" style="45" customWidth="1"/>
    <col min="16131" max="16131" width="24.140625" style="45" customWidth="1"/>
    <col min="16132" max="16132" width="18.7109375" style="45" customWidth="1"/>
    <col min="16133" max="16133" width="19.5703125" style="45" customWidth="1"/>
    <col min="16134" max="16134" width="23.42578125" style="45" customWidth="1"/>
    <col min="16135" max="16135" width="20.42578125" style="45" customWidth="1"/>
    <col min="16136" max="16136" width="20.5703125" style="45" customWidth="1"/>
    <col min="16137" max="16137" width="25.28515625" style="45" customWidth="1"/>
    <col min="16138" max="16138" width="18.85546875" style="45" customWidth="1"/>
    <col min="16139" max="16139" width="15" style="45" customWidth="1"/>
    <col min="16140" max="16140" width="15.28515625" style="45" customWidth="1"/>
    <col min="16141" max="16141" width="10.85546875" style="45" bestFit="1" customWidth="1"/>
    <col min="16142" max="16384" width="9.140625" style="45"/>
  </cols>
  <sheetData>
    <row r="1" spans="1:14" x14ac:dyDescent="0.25">
      <c r="E1" s="46"/>
      <c r="F1" s="46"/>
      <c r="G1" s="46"/>
      <c r="H1" s="46"/>
      <c r="I1" s="46"/>
    </row>
    <row r="2" spans="1:14" ht="15.75" thickBot="1" x14ac:dyDescent="0.3">
      <c r="A2" s="322" t="s">
        <v>74</v>
      </c>
      <c r="B2" s="49" t="s">
        <v>75</v>
      </c>
      <c r="C2" s="46"/>
      <c r="D2" s="46"/>
      <c r="E2" s="46"/>
      <c r="F2" s="46"/>
      <c r="G2" s="46"/>
      <c r="H2" s="46"/>
      <c r="I2" s="46"/>
      <c r="J2" s="46"/>
    </row>
    <row r="3" spans="1:14" ht="15.75" thickBot="1" x14ac:dyDescent="0.3">
      <c r="A3" s="323"/>
      <c r="B3" s="50" t="s">
        <v>76</v>
      </c>
      <c r="C3" s="51" t="s">
        <v>77</v>
      </c>
      <c r="D3" s="52" t="s">
        <v>23</v>
      </c>
      <c r="E3" s="77" t="s">
        <v>96</v>
      </c>
      <c r="F3" s="51" t="s">
        <v>78</v>
      </c>
      <c r="G3" s="51" t="s">
        <v>79</v>
      </c>
      <c r="H3" s="51" t="s">
        <v>80</v>
      </c>
      <c r="I3" s="51" t="s">
        <v>81</v>
      </c>
      <c r="J3" s="53" t="s">
        <v>82</v>
      </c>
    </row>
    <row r="4" spans="1:14" x14ac:dyDescent="0.25">
      <c r="A4" s="54">
        <v>1</v>
      </c>
      <c r="B4" s="55" t="s">
        <v>83</v>
      </c>
      <c r="C4" s="56">
        <v>2013598</v>
      </c>
      <c r="D4" s="83">
        <f>C4</f>
        <v>2013598</v>
      </c>
      <c r="E4" s="83"/>
      <c r="F4" s="57">
        <f>(C4-J4)*0.4</f>
        <v>805439.20000000007</v>
      </c>
      <c r="G4" s="58"/>
      <c r="H4" s="58">
        <f>(C4-J4)*0.3</f>
        <v>604079.4</v>
      </c>
      <c r="I4" s="58">
        <f>(C4-J4)*0.3</f>
        <v>604079.4</v>
      </c>
      <c r="J4" s="59"/>
      <c r="K4" s="68">
        <f>F4+G4+H4+I4+J4</f>
        <v>2013598</v>
      </c>
      <c r="L4" s="68">
        <f>C4-K4</f>
        <v>0</v>
      </c>
    </row>
    <row r="5" spans="1:14" x14ac:dyDescent="0.25">
      <c r="A5" s="60">
        <f>A4+1</f>
        <v>2</v>
      </c>
      <c r="B5" s="61" t="s">
        <v>84</v>
      </c>
      <c r="C5" s="62">
        <f>D5+E5</f>
        <v>7796468</v>
      </c>
      <c r="D5" s="84">
        <f>[1]Sheet2!E21</f>
        <v>1890219</v>
      </c>
      <c r="E5" s="84">
        <f>[1]Sheet2!F20</f>
        <v>5906249</v>
      </c>
      <c r="F5" s="63">
        <f>(C5-J5)*0.4</f>
        <v>3118587.2</v>
      </c>
      <c r="G5" s="64"/>
      <c r="H5" s="64">
        <f>(C5-J5)*0.3</f>
        <v>2338940.4</v>
      </c>
      <c r="I5" s="64">
        <f>(C5-J5)*0.3</f>
        <v>2338940.4</v>
      </c>
      <c r="J5" s="59"/>
      <c r="K5" s="68">
        <f t="shared" ref="K5:K19" si="0">F5+G5+H5+I5+J5</f>
        <v>7796468</v>
      </c>
      <c r="L5" s="68">
        <f t="shared" ref="L5:L19" si="1">C5-K5</f>
        <v>0</v>
      </c>
    </row>
    <row r="6" spans="1:14" x14ac:dyDescent="0.25">
      <c r="A6" s="60">
        <f t="shared" ref="A6:A17" si="2">A5+1</f>
        <v>3</v>
      </c>
      <c r="B6" s="61" t="s">
        <v>85</v>
      </c>
      <c r="C6" s="62">
        <v>5290909</v>
      </c>
      <c r="D6" s="84">
        <f>C6</f>
        <v>5290909</v>
      </c>
      <c r="E6" s="84"/>
      <c r="F6" s="63">
        <f>(C6-J6)*0.4</f>
        <v>2116363.6</v>
      </c>
      <c r="G6" s="64"/>
      <c r="H6" s="64">
        <f>(C6-J6)*0.3</f>
        <v>1587272.7</v>
      </c>
      <c r="I6" s="64">
        <f>(C6-J6)*0.3</f>
        <v>1587272.7</v>
      </c>
      <c r="J6" s="59"/>
      <c r="K6" s="68">
        <f t="shared" si="0"/>
        <v>5290909</v>
      </c>
      <c r="L6" s="68">
        <f t="shared" si="1"/>
        <v>0</v>
      </c>
    </row>
    <row r="7" spans="1:14" ht="35.25" customHeight="1" x14ac:dyDescent="0.25">
      <c r="A7" s="60">
        <f t="shared" si="2"/>
        <v>4</v>
      </c>
      <c r="B7" s="65" t="s">
        <v>86</v>
      </c>
      <c r="C7" s="62">
        <v>500000</v>
      </c>
      <c r="D7" s="84"/>
      <c r="E7" s="84">
        <f>[1]Sheet2!F19</f>
        <v>500000</v>
      </c>
      <c r="F7" s="63">
        <f>E7</f>
        <v>500000</v>
      </c>
      <c r="G7" s="64"/>
      <c r="H7" s="64"/>
      <c r="I7" s="64"/>
      <c r="J7" s="59">
        <v>0</v>
      </c>
      <c r="K7" s="68">
        <f t="shared" si="0"/>
        <v>500000</v>
      </c>
      <c r="L7" s="68">
        <f t="shared" si="1"/>
        <v>0</v>
      </c>
      <c r="N7" s="66"/>
    </row>
    <row r="8" spans="1:14" x14ac:dyDescent="0.25">
      <c r="A8" s="60">
        <f t="shared" si="2"/>
        <v>5</v>
      </c>
      <c r="B8" s="61" t="s">
        <v>87</v>
      </c>
      <c r="C8" s="62">
        <v>1741231</v>
      </c>
      <c r="D8" s="84">
        <f>[1]Sheet2!E27</f>
        <v>1212308</v>
      </c>
      <c r="E8" s="84">
        <f>[1]Sheet2!F27</f>
        <v>528923</v>
      </c>
      <c r="F8" s="63"/>
      <c r="G8" s="63">
        <f>C8</f>
        <v>1741231</v>
      </c>
      <c r="H8" s="64"/>
      <c r="I8" s="64"/>
      <c r="J8" s="59"/>
      <c r="K8" s="68">
        <f t="shared" si="0"/>
        <v>1741231</v>
      </c>
      <c r="L8" s="68">
        <f t="shared" si="1"/>
        <v>0</v>
      </c>
    </row>
    <row r="9" spans="1:14" x14ac:dyDescent="0.25">
      <c r="A9" s="60">
        <f t="shared" si="2"/>
        <v>6</v>
      </c>
      <c r="B9" s="61" t="s">
        <v>88</v>
      </c>
      <c r="C9" s="62">
        <v>3598741</v>
      </c>
      <c r="D9" s="85">
        <v>1837120</v>
      </c>
      <c r="E9" s="85">
        <v>1761621</v>
      </c>
      <c r="F9" s="63"/>
      <c r="G9" s="63">
        <f t="shared" ref="G9:G11" si="3">C9</f>
        <v>3598741</v>
      </c>
      <c r="H9" s="64"/>
      <c r="I9" s="64"/>
      <c r="J9" s="59"/>
      <c r="K9" s="68">
        <f t="shared" si="0"/>
        <v>3598741</v>
      </c>
      <c r="L9" s="68">
        <f t="shared" si="1"/>
        <v>0</v>
      </c>
    </row>
    <row r="10" spans="1:14" x14ac:dyDescent="0.25">
      <c r="A10" s="60">
        <f t="shared" si="2"/>
        <v>7</v>
      </c>
      <c r="B10" s="61" t="s">
        <v>89</v>
      </c>
      <c r="C10" s="62">
        <v>3691781</v>
      </c>
      <c r="D10" s="86">
        <v>2231126</v>
      </c>
      <c r="E10" s="86">
        <v>1460655</v>
      </c>
      <c r="F10" s="63"/>
      <c r="G10" s="63">
        <f t="shared" si="3"/>
        <v>3691781</v>
      </c>
      <c r="H10" s="64"/>
      <c r="I10" s="64"/>
      <c r="J10" s="59"/>
      <c r="K10" s="68">
        <f t="shared" si="0"/>
        <v>3691781</v>
      </c>
      <c r="L10" s="68">
        <f t="shared" si="1"/>
        <v>0</v>
      </c>
    </row>
    <row r="11" spans="1:14" x14ac:dyDescent="0.25">
      <c r="A11" s="60">
        <f t="shared" si="2"/>
        <v>8</v>
      </c>
      <c r="B11" s="61" t="s">
        <v>49</v>
      </c>
      <c r="C11" s="62">
        <v>2654059</v>
      </c>
      <c r="D11" s="84">
        <f>C11</f>
        <v>2654059</v>
      </c>
      <c r="E11" s="84"/>
      <c r="F11" s="63"/>
      <c r="G11" s="63">
        <f t="shared" si="3"/>
        <v>2654059</v>
      </c>
      <c r="H11" s="64"/>
      <c r="I11" s="64"/>
      <c r="J11" s="59"/>
      <c r="K11" s="68">
        <f t="shared" si="0"/>
        <v>2654059</v>
      </c>
      <c r="L11" s="68">
        <f t="shared" si="1"/>
        <v>0</v>
      </c>
      <c r="N11" s="67"/>
    </row>
    <row r="12" spans="1:14" ht="25.5" x14ac:dyDescent="0.25">
      <c r="A12" s="60">
        <f t="shared" si="2"/>
        <v>9</v>
      </c>
      <c r="B12" s="61" t="s">
        <v>90</v>
      </c>
      <c r="C12" s="62">
        <v>1200000</v>
      </c>
      <c r="D12" s="84">
        <f t="shared" ref="D12:D17" si="4">C12</f>
        <v>1200000</v>
      </c>
      <c r="E12" s="84"/>
      <c r="F12" s="63"/>
      <c r="G12" s="63">
        <v>1121495.3271028039</v>
      </c>
      <c r="H12" s="64"/>
      <c r="I12" s="64"/>
      <c r="J12" s="59">
        <f>G12*7%</f>
        <v>78504.672897196273</v>
      </c>
      <c r="K12" s="68">
        <f t="shared" si="0"/>
        <v>1200000.0000000002</v>
      </c>
      <c r="L12" s="68">
        <f t="shared" si="1"/>
        <v>0</v>
      </c>
      <c r="M12" s="68">
        <f>G12-J12</f>
        <v>1042990.6542056076</v>
      </c>
      <c r="N12" s="66"/>
    </row>
    <row r="13" spans="1:14" ht="25.5" x14ac:dyDescent="0.25">
      <c r="A13" s="60">
        <f t="shared" si="2"/>
        <v>10</v>
      </c>
      <c r="B13" s="61" t="s">
        <v>91</v>
      </c>
      <c r="C13" s="62">
        <v>15000000</v>
      </c>
      <c r="D13" s="84">
        <f t="shared" si="4"/>
        <v>15000000</v>
      </c>
      <c r="E13" s="87"/>
      <c r="F13" s="63">
        <v>1125000</v>
      </c>
      <c r="G13" s="63">
        <v>10000000</v>
      </c>
      <c r="H13" s="64">
        <v>2000000</v>
      </c>
      <c r="I13" s="64"/>
      <c r="J13" s="59">
        <v>1875000</v>
      </c>
      <c r="K13" s="68">
        <f t="shared" si="0"/>
        <v>15000000</v>
      </c>
      <c r="L13" s="68">
        <f t="shared" si="1"/>
        <v>0</v>
      </c>
      <c r="N13" s="66"/>
    </row>
    <row r="14" spans="1:14" x14ac:dyDescent="0.25">
      <c r="A14" s="60">
        <f t="shared" si="2"/>
        <v>11</v>
      </c>
      <c r="B14" s="61" t="s">
        <v>51</v>
      </c>
      <c r="C14" s="62">
        <v>682000</v>
      </c>
      <c r="D14" s="84">
        <f t="shared" si="4"/>
        <v>682000</v>
      </c>
      <c r="E14" s="87"/>
      <c r="F14" s="63">
        <f>(C14-J14)*0.4</f>
        <v>253704</v>
      </c>
      <c r="G14" s="64"/>
      <c r="H14" s="64">
        <f>(C14-J14)*0.3</f>
        <v>190278</v>
      </c>
      <c r="I14" s="64">
        <f>(C14-J14)*0.3</f>
        <v>190278</v>
      </c>
      <c r="J14" s="59">
        <f>D14*7%</f>
        <v>47740.000000000007</v>
      </c>
      <c r="K14" s="68">
        <f t="shared" si="0"/>
        <v>682000</v>
      </c>
      <c r="L14" s="68">
        <f t="shared" si="1"/>
        <v>0</v>
      </c>
      <c r="N14" s="66"/>
    </row>
    <row r="15" spans="1:14" x14ac:dyDescent="0.25">
      <c r="A15" s="60">
        <f t="shared" si="2"/>
        <v>12</v>
      </c>
      <c r="B15" s="65" t="s">
        <v>92</v>
      </c>
      <c r="C15" s="62"/>
      <c r="D15" s="84">
        <f t="shared" si="4"/>
        <v>0</v>
      </c>
      <c r="E15" s="87"/>
      <c r="F15" s="63"/>
      <c r="G15" s="64"/>
      <c r="H15" s="64"/>
      <c r="I15" s="64"/>
      <c r="J15" s="59">
        <f>C15*0.04%</f>
        <v>0</v>
      </c>
      <c r="K15" s="68">
        <f t="shared" si="0"/>
        <v>0</v>
      </c>
      <c r="L15" s="68">
        <f t="shared" si="1"/>
        <v>0</v>
      </c>
      <c r="N15" s="66"/>
    </row>
    <row r="16" spans="1:14" x14ac:dyDescent="0.25">
      <c r="A16" s="60">
        <f t="shared" si="2"/>
        <v>13</v>
      </c>
      <c r="B16" s="65" t="s">
        <v>93</v>
      </c>
      <c r="C16" s="62"/>
      <c r="D16" s="84">
        <f t="shared" si="4"/>
        <v>0</v>
      </c>
      <c r="E16" s="87"/>
      <c r="F16" s="63"/>
      <c r="G16" s="64"/>
      <c r="H16" s="64"/>
      <c r="I16" s="64"/>
      <c r="J16" s="59">
        <f>C16*0.04%</f>
        <v>0</v>
      </c>
      <c r="K16" s="68">
        <f t="shared" si="0"/>
        <v>0</v>
      </c>
      <c r="L16" s="68">
        <f t="shared" si="1"/>
        <v>0</v>
      </c>
      <c r="N16" s="66"/>
    </row>
    <row r="17" spans="1:49" ht="23.25" customHeight="1" thickBot="1" x14ac:dyDescent="0.3">
      <c r="A17" s="78">
        <f t="shared" si="2"/>
        <v>14</v>
      </c>
      <c r="B17" s="79" t="s">
        <v>94</v>
      </c>
      <c r="C17" s="80">
        <v>1412802</v>
      </c>
      <c r="D17" s="88">
        <f t="shared" si="4"/>
        <v>1412802</v>
      </c>
      <c r="E17" s="89"/>
      <c r="F17" s="81">
        <f>(C17-J17)*0.4</f>
        <v>540120.80000000005</v>
      </c>
      <c r="G17" s="82"/>
      <c r="H17" s="82">
        <f>(C17-J17)*0.3</f>
        <v>405090.6</v>
      </c>
      <c r="I17" s="82">
        <f>(C17-J17)*0.3</f>
        <v>405090.6</v>
      </c>
      <c r="J17" s="59">
        <v>62500</v>
      </c>
      <c r="K17" s="68">
        <f t="shared" si="0"/>
        <v>1412802</v>
      </c>
      <c r="L17" s="68">
        <f t="shared" si="1"/>
        <v>0</v>
      </c>
      <c r="N17" s="69"/>
    </row>
    <row r="18" spans="1:49" ht="15.75" thickTop="1" x14ac:dyDescent="0.25">
      <c r="A18" s="54"/>
      <c r="B18" s="55"/>
      <c r="C18" s="56"/>
      <c r="D18" s="83"/>
      <c r="E18" s="83"/>
      <c r="F18" s="57"/>
      <c r="G18" s="57"/>
      <c r="H18" s="58"/>
      <c r="I18" s="58"/>
      <c r="J18" s="59"/>
      <c r="K18" s="68">
        <f t="shared" si="0"/>
        <v>0</v>
      </c>
      <c r="L18" s="68">
        <f t="shared" si="1"/>
        <v>0</v>
      </c>
    </row>
    <row r="19" spans="1:49" s="46" customFormat="1" ht="15.75" thickBot="1" x14ac:dyDescent="0.3">
      <c r="A19" s="70"/>
      <c r="B19" s="71" t="s">
        <v>10</v>
      </c>
      <c r="C19" s="72">
        <f>SUM(C4:C18)</f>
        <v>45581589</v>
      </c>
      <c r="D19" s="90">
        <f>SUM(D4:D18)</f>
        <v>35424141</v>
      </c>
      <c r="E19" s="90"/>
      <c r="F19" s="73">
        <f>SUM(F4:F18)</f>
        <v>8459214.8000000007</v>
      </c>
      <c r="G19" s="73">
        <f>SUM(G4:G18)</f>
        <v>22807307.327102803</v>
      </c>
      <c r="H19" s="73">
        <f>SUM(H4:H18)</f>
        <v>7125661.0999999996</v>
      </c>
      <c r="I19" s="73">
        <f>SUM(I4:I18)</f>
        <v>5125661.0999999996</v>
      </c>
      <c r="J19" s="74">
        <f>SUM(J4:J18)</f>
        <v>2063744.6728971964</v>
      </c>
      <c r="K19" s="68">
        <f t="shared" si="0"/>
        <v>45581589</v>
      </c>
      <c r="L19" s="68">
        <f t="shared" si="1"/>
        <v>0</v>
      </c>
      <c r="M19" s="48"/>
      <c r="N19" s="48"/>
      <c r="O19" s="48"/>
      <c r="P19" s="48"/>
      <c r="Q19" s="48"/>
      <c r="R19" s="48"/>
      <c r="S19" s="48"/>
      <c r="T19" s="48"/>
      <c r="U19" s="48"/>
      <c r="V19" s="48"/>
      <c r="W19" s="48"/>
      <c r="X19" s="48"/>
      <c r="Y19" s="48"/>
      <c r="Z19" s="48"/>
      <c r="AA19" s="48"/>
      <c r="AB19" s="48"/>
      <c r="AC19" s="48"/>
      <c r="AD19" s="48"/>
      <c r="AE19" s="48"/>
      <c r="AF19" s="48"/>
      <c r="AG19" s="48"/>
      <c r="AH19" s="48"/>
      <c r="AI19" s="48"/>
      <c r="AJ19" s="48"/>
      <c r="AK19" s="48"/>
      <c r="AL19" s="48"/>
      <c r="AM19" s="48"/>
      <c r="AN19" s="48"/>
      <c r="AO19" s="48"/>
      <c r="AP19" s="48"/>
      <c r="AQ19" s="48"/>
      <c r="AR19" s="48"/>
      <c r="AS19" s="48"/>
      <c r="AT19" s="48"/>
      <c r="AU19" s="48"/>
      <c r="AV19" s="48"/>
      <c r="AW19" s="48"/>
    </row>
    <row r="20" spans="1:49" s="75" customFormat="1" x14ac:dyDescent="0.25"/>
    <row r="21" spans="1:49" s="75" customFormat="1" x14ac:dyDescent="0.25"/>
    <row r="22" spans="1:49" s="75" customFormat="1" x14ac:dyDescent="0.25">
      <c r="B22" s="75" t="s">
        <v>95</v>
      </c>
      <c r="C22" s="76">
        <f>[1]Sheet2!E41</f>
        <v>45581559</v>
      </c>
    </row>
    <row r="23" spans="1:49" s="75" customFormat="1" x14ac:dyDescent="0.25"/>
    <row r="24" spans="1:49" s="75" customFormat="1" x14ac:dyDescent="0.25"/>
    <row r="25" spans="1:49" s="75" customFormat="1" x14ac:dyDescent="0.25"/>
    <row r="26" spans="1:49" s="75" customFormat="1" x14ac:dyDescent="0.25"/>
    <row r="27" spans="1:49" s="75" customFormat="1" x14ac:dyDescent="0.25"/>
    <row r="28" spans="1:49" s="75" customFormat="1" x14ac:dyDescent="0.25"/>
    <row r="29" spans="1:49" s="75" customFormat="1" x14ac:dyDescent="0.25"/>
    <row r="30" spans="1:49" s="75" customFormat="1" x14ac:dyDescent="0.25"/>
    <row r="31" spans="1:49" s="75" customFormat="1" x14ac:dyDescent="0.25"/>
    <row r="32" spans="1:49" s="75" customFormat="1" x14ac:dyDescent="0.25"/>
    <row r="33" s="75" customFormat="1" x14ac:dyDescent="0.25"/>
    <row r="34" s="75" customFormat="1" x14ac:dyDescent="0.25"/>
    <row r="35" s="75" customFormat="1" x14ac:dyDescent="0.25"/>
    <row r="36" s="75" customFormat="1" x14ac:dyDescent="0.25"/>
    <row r="37" s="75" customFormat="1" x14ac:dyDescent="0.25"/>
    <row r="38" s="75" customFormat="1" x14ac:dyDescent="0.25"/>
    <row r="39" s="75" customFormat="1" x14ac:dyDescent="0.25"/>
    <row r="40" s="75" customFormat="1" x14ac:dyDescent="0.25"/>
    <row r="41" s="75" customFormat="1" x14ac:dyDescent="0.25"/>
    <row r="42" s="75" customFormat="1" x14ac:dyDescent="0.25"/>
    <row r="43" s="75" customFormat="1" x14ac:dyDescent="0.25"/>
    <row r="44" s="75" customFormat="1" x14ac:dyDescent="0.25"/>
    <row r="45" s="75" customFormat="1" x14ac:dyDescent="0.25"/>
    <row r="46" s="75" customFormat="1" x14ac:dyDescent="0.25"/>
    <row r="47" s="75" customFormat="1" x14ac:dyDescent="0.25"/>
    <row r="48" s="75" customFormat="1" x14ac:dyDescent="0.25"/>
    <row r="49" s="75" customFormat="1" x14ac:dyDescent="0.25"/>
    <row r="50" s="75" customFormat="1" x14ac:dyDescent="0.25"/>
    <row r="51" s="75" customFormat="1" x14ac:dyDescent="0.25"/>
    <row r="52" s="75" customFormat="1" x14ac:dyDescent="0.25"/>
    <row r="53" s="75" customFormat="1" x14ac:dyDescent="0.25"/>
    <row r="54" s="75" customFormat="1" x14ac:dyDescent="0.25"/>
    <row r="55" s="75" customFormat="1" x14ac:dyDescent="0.25"/>
    <row r="56" s="75" customFormat="1" x14ac:dyDescent="0.25"/>
    <row r="57" s="75" customFormat="1" x14ac:dyDescent="0.25"/>
    <row r="58" s="75" customFormat="1" x14ac:dyDescent="0.25"/>
    <row r="59" s="75" customFormat="1" x14ac:dyDescent="0.25"/>
    <row r="60" s="75" customFormat="1" x14ac:dyDescent="0.25"/>
    <row r="61" s="75" customFormat="1" x14ac:dyDescent="0.25"/>
    <row r="62" s="75" customFormat="1" x14ac:dyDescent="0.25"/>
    <row r="63" s="75" customFormat="1" x14ac:dyDescent="0.25"/>
    <row r="64" s="75" customFormat="1" x14ac:dyDescent="0.25"/>
    <row r="65" s="75" customFormat="1" x14ac:dyDescent="0.25"/>
    <row r="66" s="75" customFormat="1" x14ac:dyDescent="0.25"/>
    <row r="67" s="75" customFormat="1" x14ac:dyDescent="0.25"/>
    <row r="68" s="75" customFormat="1" x14ac:dyDescent="0.25"/>
    <row r="69" s="75" customFormat="1" x14ac:dyDescent="0.25"/>
    <row r="70" s="75" customFormat="1" x14ac:dyDescent="0.25"/>
    <row r="71" s="75" customFormat="1" x14ac:dyDescent="0.25"/>
    <row r="72" s="75" customFormat="1" x14ac:dyDescent="0.25"/>
    <row r="73" s="75" customFormat="1" x14ac:dyDescent="0.25"/>
    <row r="74" s="75" customFormat="1" x14ac:dyDescent="0.25"/>
    <row r="75" s="75" customFormat="1" x14ac:dyDescent="0.25"/>
    <row r="76" s="75" customFormat="1" x14ac:dyDescent="0.25"/>
    <row r="77" s="75" customFormat="1" x14ac:dyDescent="0.25"/>
    <row r="78" s="75" customFormat="1" x14ac:dyDescent="0.25"/>
    <row r="79" s="75" customFormat="1" x14ac:dyDescent="0.25"/>
    <row r="80" s="75" customFormat="1" x14ac:dyDescent="0.25"/>
    <row r="81" s="75" customFormat="1" x14ac:dyDescent="0.25"/>
    <row r="82" s="75" customFormat="1" x14ac:dyDescent="0.25"/>
    <row r="83" s="75" customFormat="1" x14ac:dyDescent="0.25"/>
    <row r="84" s="75" customFormat="1" x14ac:dyDescent="0.25"/>
    <row r="85" s="75" customFormat="1" x14ac:dyDescent="0.25"/>
    <row r="86" s="75" customFormat="1" x14ac:dyDescent="0.25"/>
    <row r="87" s="75" customFormat="1" x14ac:dyDescent="0.25"/>
    <row r="88" s="75" customFormat="1" x14ac:dyDescent="0.25"/>
    <row r="89" s="75" customFormat="1" x14ac:dyDescent="0.25"/>
    <row r="90" s="75" customFormat="1" x14ac:dyDescent="0.25"/>
    <row r="91" s="75" customFormat="1" x14ac:dyDescent="0.25"/>
    <row r="92" s="75" customFormat="1" x14ac:dyDescent="0.25"/>
    <row r="93" s="75" customFormat="1" x14ac:dyDescent="0.25"/>
    <row r="94" s="75" customFormat="1" x14ac:dyDescent="0.25"/>
    <row r="95" s="75" customFormat="1" x14ac:dyDescent="0.25"/>
    <row r="96" s="75" customFormat="1" x14ac:dyDescent="0.25"/>
    <row r="97" s="75" customFormat="1" x14ac:dyDescent="0.25"/>
    <row r="98" s="75" customFormat="1" x14ac:dyDescent="0.25"/>
    <row r="99" s="75" customFormat="1" x14ac:dyDescent="0.25"/>
    <row r="100" s="75" customFormat="1" x14ac:dyDescent="0.25"/>
    <row r="101" s="75" customFormat="1" x14ac:dyDescent="0.25"/>
    <row r="102" s="75" customFormat="1" x14ac:dyDescent="0.25"/>
    <row r="103" s="75" customFormat="1" x14ac:dyDescent="0.25"/>
    <row r="104" s="75" customFormat="1" x14ac:dyDescent="0.25"/>
    <row r="105" s="75" customFormat="1" x14ac:dyDescent="0.25"/>
    <row r="106" s="75" customFormat="1" x14ac:dyDescent="0.25"/>
    <row r="107" s="75" customFormat="1" x14ac:dyDescent="0.25"/>
    <row r="108" s="75" customFormat="1" x14ac:dyDescent="0.25"/>
    <row r="109" s="75" customFormat="1" x14ac:dyDescent="0.25"/>
    <row r="110" s="75" customFormat="1" x14ac:dyDescent="0.25"/>
    <row r="111" s="75" customFormat="1" x14ac:dyDescent="0.25"/>
    <row r="112" s="75" customFormat="1" x14ac:dyDescent="0.25"/>
    <row r="113" s="75" customFormat="1" x14ac:dyDescent="0.25"/>
    <row r="114" s="75" customFormat="1" x14ac:dyDescent="0.25"/>
    <row r="115" s="75" customFormat="1" x14ac:dyDescent="0.25"/>
    <row r="116" s="75" customFormat="1" x14ac:dyDescent="0.25"/>
    <row r="117" s="75" customFormat="1" x14ac:dyDescent="0.25"/>
    <row r="118" s="75" customFormat="1" x14ac:dyDescent="0.25"/>
    <row r="119" s="75" customFormat="1" x14ac:dyDescent="0.25"/>
    <row r="120" s="75" customFormat="1" x14ac:dyDescent="0.25"/>
    <row r="121" s="75" customFormat="1" x14ac:dyDescent="0.25"/>
    <row r="122" s="75" customFormat="1" x14ac:dyDescent="0.25"/>
    <row r="123" s="75" customFormat="1" x14ac:dyDescent="0.25"/>
    <row r="124" s="75" customFormat="1" x14ac:dyDescent="0.25"/>
    <row r="125" s="75" customFormat="1" x14ac:dyDescent="0.25"/>
    <row r="126" s="75" customFormat="1" x14ac:dyDescent="0.25"/>
    <row r="127" s="75" customFormat="1" x14ac:dyDescent="0.25"/>
    <row r="128" s="75" customFormat="1" x14ac:dyDescent="0.25"/>
    <row r="129" s="75" customFormat="1" x14ac:dyDescent="0.25"/>
    <row r="130" s="75" customFormat="1" x14ac:dyDescent="0.25"/>
    <row r="131" s="75" customFormat="1" x14ac:dyDescent="0.25"/>
    <row r="132" s="75" customFormat="1" x14ac:dyDescent="0.25"/>
    <row r="133" s="75" customFormat="1" x14ac:dyDescent="0.25"/>
    <row r="134" s="75" customFormat="1" x14ac:dyDescent="0.25"/>
    <row r="135" s="75" customFormat="1" x14ac:dyDescent="0.25"/>
    <row r="136" s="75" customFormat="1" x14ac:dyDescent="0.25"/>
  </sheetData>
  <mergeCells count="1">
    <mergeCell ref="A2:A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8FD0EB9EC318C41BC3215F8FE928E39" ma:contentTypeVersion="10" ma:contentTypeDescription="Create a new document." ma:contentTypeScope="" ma:versionID="b17caccffdde8312f2f1ef10c4c6d4e6">
  <xsd:schema xmlns:xsd="http://www.w3.org/2001/XMLSchema" xmlns:xs="http://www.w3.org/2001/XMLSchema" xmlns:p="http://schemas.microsoft.com/office/2006/metadata/properties" xmlns:ns2="1aff248a-5efb-40a0-b99a-849f44d5ad9c" targetNamespace="http://schemas.microsoft.com/office/2006/metadata/properties" ma:root="true" ma:fieldsID="5865fc380fbfb3a6e79df6c9dbd2ea38" ns2:_="">
    <xsd:import namespace="1aff248a-5efb-40a0-b99a-849f44d5ad9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MediaServiceAutoKeyPoints" minOccurs="0"/>
                <xsd:element ref="ns2:MediaServiceKeyPoints" minOccurs="0"/>
                <xsd:element ref="ns2:MediaServiceLocatio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ff248a-5efb-40a0-b99a-849f44d5ad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9164C66-88A5-482A-9DBD-D8A3793C9C39}">
  <ds:schemaRefs>
    <ds:schemaRef ds:uri="http://schemas.microsoft.com/sharepoint/v3/contenttype/forms"/>
  </ds:schemaRefs>
</ds:datastoreItem>
</file>

<file path=customXml/itemProps2.xml><?xml version="1.0" encoding="utf-8"?>
<ds:datastoreItem xmlns:ds="http://schemas.openxmlformats.org/officeDocument/2006/customXml" ds:itemID="{20CCF005-9ACB-4AE6-8DB3-14E5992F36D0}">
  <ds:schemaRefs>
    <ds:schemaRef ds:uri="http://purl.org/dc/elements/1.1/"/>
    <ds:schemaRef ds:uri="http://schemas.microsoft.com/office/2006/documentManagement/types"/>
    <ds:schemaRef ds:uri="http://schemas.microsoft.com/office/infopath/2007/PartnerControls"/>
    <ds:schemaRef ds:uri="http://purl.org/dc/terms/"/>
    <ds:schemaRef ds:uri="http://schemas.microsoft.com/office/2006/metadata/properties"/>
    <ds:schemaRef ds:uri="http://schemas.openxmlformats.org/package/2006/metadata/core-properties"/>
    <ds:schemaRef ds:uri="http://schemas.microsoft.com/sharepoint/v4"/>
    <ds:schemaRef ds:uri="http://www.w3.org/XML/1998/namespace"/>
    <ds:schemaRef ds:uri="http://purl.org/dc/dcmitype/"/>
  </ds:schemaRefs>
</ds:datastoreItem>
</file>

<file path=customXml/itemProps3.xml><?xml version="1.0" encoding="utf-8"?>
<ds:datastoreItem xmlns:ds="http://schemas.openxmlformats.org/officeDocument/2006/customXml" ds:itemID="{449E2A7A-6FF8-4B3D-9651-7A024A4228F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Appendix 1 Project Budget</vt:lpstr>
      <vt:lpstr>Appendix 2 Co-finance</vt:lpstr>
      <vt:lpstr>WS</vt:lpstr>
      <vt:lpstr>'Appendix 1 Project Budget'!Print_Area</vt:lpstr>
      <vt:lpstr>'Appendix 2 Co-finance'!Print_Area</vt:lpstr>
    </vt:vector>
  </TitlesOfParts>
  <Company>home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Angela Helen</dc:creator>
  <cp:lastModifiedBy>Nhu Quynh Phan</cp:lastModifiedBy>
  <cp:lastPrinted>2016-07-05T18:34:13Z</cp:lastPrinted>
  <dcterms:created xsi:type="dcterms:W3CDTF">2013-10-10T11:01:35Z</dcterms:created>
  <dcterms:modified xsi:type="dcterms:W3CDTF">2016-07-05T18:35:01Z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0x01010078FD0EB9EC318C41BC3215F8FE928E39</vt:lpwstr>
  </property>
</Properties>
</file>